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ORDEN CARPETAS\DOCUMENTOS\Trabajo\Estadísticas\Documentos\"/>
    </mc:Choice>
  </mc:AlternateContent>
  <bookViews>
    <workbookView xWindow="0" yWindow="0" windowWidth="20490" windowHeight="7455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Resumen!$B$1:$O$86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 iterate="1"/>
</workbook>
</file>

<file path=xl/calcChain.xml><?xml version="1.0" encoding="utf-8"?>
<calcChain xmlns="http://schemas.openxmlformats.org/spreadsheetml/2006/main">
  <c r="E13" i="1" l="1"/>
  <c r="G59" i="6" l="1"/>
  <c r="I57" i="1" l="1"/>
  <c r="E57" i="1"/>
  <c r="F57" i="1"/>
  <c r="D13" i="6" l="1"/>
  <c r="Q10" i="10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P8" i="10"/>
  <c r="E10" i="6" s="1"/>
  <c r="O11" i="10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/>
  <c r="G28" i="2"/>
  <c r="D28" i="2" l="1"/>
  <c r="D33" i="2"/>
  <c r="D32" i="2"/>
  <c r="D31" i="2"/>
  <c r="H28" i="2" l="1"/>
  <c r="F58" i="6" l="1"/>
  <c r="H33" i="2" l="1"/>
  <c r="H32" i="2"/>
  <c r="H31" i="2"/>
  <c r="U61" i="1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E28" i="2" l="1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G80" i="2" l="1"/>
  <c r="I32" i="1"/>
  <c r="H30" i="2" s="1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I35" i="2" s="1"/>
  <c r="J32" i="1"/>
  <c r="J48" i="1"/>
  <c r="J65" i="1"/>
  <c r="E56" i="2"/>
  <c r="D56" i="2"/>
  <c r="H57" i="2" l="1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D17" i="1" s="1"/>
  <c r="G25" i="1"/>
  <c r="G29" i="1"/>
  <c r="F32" i="1"/>
  <c r="E30" i="2" s="1"/>
  <c r="D55" i="2" l="1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13" i="1"/>
  <c r="G32" i="1"/>
  <c r="G1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<sst xmlns="http://schemas.openxmlformats.org/spreadsheetml/2006/main" count="309" uniqueCount="133">
  <si>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</si>
  <si>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</si>
  <si>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</si>
  <si>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</si>
  <si>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</si>
  <si>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</si>
  <si>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</si>
  <si>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</si>
  <si>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</si>
  <si>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</si>
  <si>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</si>
  <si>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</si>
  <si>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</si>
  <si>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</si>
  <si>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</si>
  <si>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</si>
  <si>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</si>
  <si>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</si>
  <si>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</si>
  <si>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</si>
  <si>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</si>
  <si>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</si>
  <si>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</si>
  <si>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</si>
  <si>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</si>
  <si>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</si>
  <si>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</si>
  <si>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</si>
  <si>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</si>
  <si>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</si>
  <si>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</si>
  <si>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</si>
  <si>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</si>
  <si>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</si>
  <si>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</si>
  <si>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</si>
  <si>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</si>
  <si>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</si>
  <si>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</si>
  <si>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</si>
  <si>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</si>
  <si>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</si>
  <si>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</si>
  <si>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</si>
  <si>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</si>
  <si>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</si>
  <si>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</si>
  <si>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</si>
  <si>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</si>
  <si>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</si>
  <si>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</si>
  <si>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</si>
  <si>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</si>
  <si>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</si>
  <si>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</si>
  <si>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</si>
  <si>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</si>
  <si>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</si>
  <si>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</si>
  <si>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</si>
  <si>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</si>
  <si>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</si>
  <si>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</si>
  <si>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</si>
  <si>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</si>
  <si>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</si>
  <si>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</si>
  <si>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</si>
  <si>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</si>
  <si>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</si>
  <si>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</si>
  <si>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</si>
  <si>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</si>
  <si>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</si>
  <si>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</si>
  <si>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</si>
  <si>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</si>
  <si>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</si>
  <si>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</si>
  <si>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</si>
  <si>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</si>
  <si>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</si>
  <si>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</si>
  <si>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</si>
  <si>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</si>
  <si>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</si>
  <si>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</si>
  <si>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</si>
  <si>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</si>
  <si>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</si>
  <si>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</si>
  <si>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</si>
  <si>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</si>
  <si>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</si>
  <si>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</si>
  <si>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</si>
  <si>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</si>
  <si>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</si>
  <si>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</si>
  <si>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</si>
  <si>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</si>
  <si>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</si>
  <si>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</si>
  <si>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</si>
  <si>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</si>
  <si>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</si>
  <si>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</si>
  <si>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</si>
  <si>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</si>
  <si>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-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</si>
  <si>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</si>
  <si>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</si>
  <si>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</si>
  <si>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</si>
  <si>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</si>
  <si>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</si>
  <si>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</si>
  <si>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</si>
  <si>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</si>
  <si>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</si>
  <si>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Cuadro N° 2 : Producción de energía eléctrica nacional según sistema y mercado 2019 vs 2018</t>
  </si>
  <si>
    <t>Cuadro N° 3 : Producción de energía eléctrica nacional según  mercado 2019 vs 2018</t>
  </si>
  <si>
    <t>Cuadro N° 4 : Producción de energía eléctrica nacional según destino y recurso 2019 vs 2018</t>
  </si>
  <si>
    <t>Biomasa</t>
  </si>
  <si>
    <t>2.3 Producción de energía eléctrica (GWh) en las Centrales de Reserva Fría en el Mercado Eléctrico</t>
  </si>
  <si>
    <t>1. RESUMEN NACIONAL AL MES DE OCTUBRE 2019</t>
  </si>
  <si>
    <t>Octubre</t>
  </si>
  <si>
    <t>Acumulado Enero a Octubre</t>
  </si>
  <si>
    <t>ACUMULADO</t>
  </si>
  <si>
    <t>Grafico N° 11: Generación de energía eléctrica por Región, al mes de octubre 2019</t>
  </si>
  <si>
    <t>Cuadro N° 8: Producción de energía eléctrica nacional por zona del país, al mes de octubre</t>
  </si>
  <si>
    <t>Octubre 2019</t>
  </si>
  <si>
    <t>3.2 Producción de energía eléctrica (GWh) por origen y zona al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</si>
</sst>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6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2" xfId="33743" applyFont="1" applyBorder="1" applyAlignment="1">
      <alignment horizontal="center"/>
    </xf>
    <xf numFmtId="0" fontId="91" fillId="0" borderId="30" xfId="0" applyFont="1" applyBorder="1" applyAlignment="1">
      <alignment horizontal="center"/>
    </xf>
    <xf numFmtId="0" fontId="91" fillId="0" borderId="35" xfId="0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91" fillId="69" borderId="0" xfId="0" applyFont="1" applyFill="1" applyBorder="1" applyAlignment="1">
      <alignment horizontal="center"/>
    </xf>
    <xf numFmtId="0" fontId="91" fillId="69" borderId="59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94" fillId="70" borderId="67" xfId="0" applyNumberFormat="1" applyFont="1" applyFill="1" applyBorder="1" applyAlignment="1">
      <alignment horizontal="center" vertical="center"/>
    </xf>
    <xf numFmtId="3" fontId="94" fillId="70" borderId="71" xfId="0" applyNumberFormat="1" applyFont="1" applyFill="1" applyBorder="1" applyAlignment="1">
      <alignment horizontal="center" vertical="center"/>
    </xf>
    <xf numFmtId="178" fontId="97" fillId="70" borderId="31" xfId="33743" applyNumberFormat="1" applyFont="1" applyFill="1" applyBorder="1" applyAlignment="1">
      <alignment horizontal="center" vertical="center"/>
    </xf>
    <xf numFmtId="178" fontId="97" fillId="70" borderId="68" xfId="33743" applyNumberFormat="1" applyFont="1" applyFill="1" applyBorder="1" applyAlignment="1">
      <alignment horizontal="center" vertical="center"/>
    </xf>
    <xf numFmtId="178" fontId="97" fillId="70" borderId="72" xfId="33743" applyNumberFormat="1" applyFont="1" applyFill="1" applyBorder="1" applyAlignment="1">
      <alignment horizontal="center" vertical="center"/>
    </xf>
    <xf numFmtId="10" fontId="94" fillId="70" borderId="69" xfId="33743" applyNumberFormat="1" applyFont="1" applyFill="1" applyBorder="1" applyAlignment="1">
      <alignment horizontal="center" vertic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0" xfId="0" applyFont="1" applyFill="1" applyBorder="1" applyAlignment="1">
      <alignment horizontal="center"/>
    </xf>
    <xf numFmtId="0" fontId="94" fillId="70" borderId="19" xfId="0" applyFont="1" applyFill="1" applyBorder="1" applyAlignment="1">
      <alignment horizontal="center"/>
    </xf>
    <xf numFmtId="3" fontId="94" fillId="70" borderId="39" xfId="0" applyNumberFormat="1" applyFont="1" applyFill="1" applyBorder="1"/>
    <xf numFmtId="0" fontId="94" fillId="70" borderId="14" xfId="0" applyFont="1" applyFill="1" applyBorder="1" applyAlignment="1">
      <alignment horizontal="center"/>
    </xf>
    <xf numFmtId="0" fontId="94" fillId="70" borderId="36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5" xfId="33743" applyNumberFormat="1" applyFont="1" applyFill="1" applyBorder="1"/>
    <xf numFmtId="0" fontId="98" fillId="0" borderId="16" xfId="0" applyFont="1" applyBorder="1"/>
    <xf numFmtId="0" fontId="98" fillId="0" borderId="73" xfId="0" applyFont="1" applyBorder="1"/>
    <xf numFmtId="0" fontId="98" fillId="0" borderId="73" xfId="0" applyNumberFormat="1" applyFont="1" applyBorder="1" applyAlignment="1">
      <alignment vertical="center"/>
    </xf>
    <xf numFmtId="0" fontId="98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2" fillId="69" borderId="15" xfId="0" applyFont="1" applyFill="1" applyBorder="1" applyAlignment="1"/>
    <xf numFmtId="0" fontId="91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9" fontId="102" fillId="68" borderId="45" xfId="33743" applyFont="1" applyFill="1" applyBorder="1" applyAlignment="1">
      <alignment horizontal="center"/>
    </xf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9" fontId="102" fillId="68" borderId="44" xfId="33743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3" fillId="68" borderId="31" xfId="0" applyFont="1" applyFill="1" applyBorder="1" applyAlignment="1">
      <alignment horizontal="center" vertical="center"/>
    </xf>
    <xf numFmtId="0" fontId="2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1" fillId="68" borderId="30" xfId="0" applyFont="1" applyFill="1" applyBorder="1" applyAlignment="1">
      <alignment horizontal="center"/>
    </xf>
    <xf numFmtId="0" fontId="91" fillId="68" borderId="35" xfId="0" applyFont="1" applyFill="1" applyBorder="1" applyAlignment="1">
      <alignment horizontal="center"/>
    </xf>
    <xf numFmtId="0" fontId="103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5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5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5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5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9" fontId="95" fillId="68" borderId="34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1" borderId="16" xfId="0" applyFont="1" applyFill="1" applyBorder="1" applyAlignment="1">
      <alignment horizontal="right" vertical="center"/>
    </xf>
    <xf numFmtId="0" fontId="2" fillId="71" borderId="25" xfId="0" applyFont="1" applyFill="1" applyBorder="1" applyAlignment="1">
      <alignment horizontal="center" wrapText="1"/>
    </xf>
    <xf numFmtId="0" fontId="2" fillId="71" borderId="40" xfId="0" applyFont="1" applyFill="1" applyBorder="1" applyAlignment="1">
      <alignment horizontal="center" wrapText="1"/>
    </xf>
    <xf numFmtId="0" fontId="2" fillId="71" borderId="28" xfId="0" applyFont="1" applyFill="1" applyBorder="1" applyAlignment="1">
      <alignment horizontal="center" vertical="center"/>
    </xf>
    <xf numFmtId="9" fontId="95" fillId="71" borderId="43" xfId="33743" applyFont="1" applyFill="1" applyBorder="1" applyAlignment="1">
      <alignment horizontal="center" vertical="center"/>
    </xf>
    <xf numFmtId="0" fontId="2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5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5" fillId="71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28" xfId="33743" applyNumberFormat="1" applyFont="1" applyFill="1" applyBorder="1"/>
    <xf numFmtId="3" fontId="92" fillId="68" borderId="60" xfId="0" applyNumberFormat="1" applyFont="1" applyFill="1" applyBorder="1"/>
    <xf numFmtId="9" fontId="75" fillId="68" borderId="25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0" xfId="33743" applyNumberFormat="1" applyFont="1" applyFill="1" applyBorder="1"/>
    <xf numFmtId="3" fontId="92" fillId="68" borderId="61" xfId="0" applyNumberFormat="1" applyFont="1" applyFill="1" applyBorder="1"/>
    <xf numFmtId="9" fontId="75" fillId="68" borderId="32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5" xfId="33743" applyNumberFormat="1" applyFont="1" applyFill="1" applyBorder="1"/>
    <xf numFmtId="3" fontId="92" fillId="68" borderId="76" xfId="0" applyNumberFormat="1" applyFont="1" applyFill="1" applyBorder="1"/>
    <xf numFmtId="9" fontId="75" fillId="68" borderId="26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39" xfId="0" applyNumberFormat="1" applyFont="1" applyFill="1" applyBorder="1"/>
    <xf numFmtId="3" fontId="94" fillId="69" borderId="62" xfId="0" applyNumberFormat="1" applyFont="1" applyFill="1" applyBorder="1"/>
    <xf numFmtId="178" fontId="97" fillId="69" borderId="58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8" fillId="0" borderId="79" xfId="0" applyNumberFormat="1" applyFont="1" applyBorder="1"/>
    <xf numFmtId="180" fontId="0" fillId="68" borderId="28" xfId="33744" applyNumberFormat="1" applyFont="1" applyFill="1" applyBorder="1"/>
    <xf numFmtId="180" fontId="0" fillId="68" borderId="16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0" xfId="33744" applyNumberFormat="1" applyFont="1" applyFill="1" applyBorder="1"/>
    <xf numFmtId="180" fontId="0" fillId="68" borderId="75" xfId="33744" applyNumberFormat="1" applyFont="1" applyFill="1" applyBorder="1"/>
    <xf numFmtId="180" fontId="0" fillId="68" borderId="15" xfId="33744" applyNumberFormat="1" applyFont="1" applyFill="1" applyBorder="1"/>
    <xf numFmtId="180" fontId="94" fillId="70" borderId="39" xfId="33744" applyNumberFormat="1" applyFont="1" applyFill="1" applyBorder="1"/>
    <xf numFmtId="180" fontId="94" fillId="70" borderId="55" xfId="33744" applyNumberFormat="1" applyFont="1" applyFill="1" applyBorder="1"/>
    <xf numFmtId="3" fontId="98" fillId="0" borderId="28" xfId="0" applyNumberFormat="1" applyFont="1" applyBorder="1"/>
    <xf numFmtId="3" fontId="98" fillId="0" borderId="78" xfId="0" applyNumberFormat="1" applyFont="1" applyBorder="1"/>
    <xf numFmtId="9" fontId="75" fillId="0" borderId="16" xfId="33743" applyFont="1" applyBorder="1"/>
    <xf numFmtId="9" fontId="75" fillId="0" borderId="73" xfId="33743" applyFont="1" applyBorder="1"/>
    <xf numFmtId="9" fontId="75" fillId="0" borderId="74" xfId="33743" applyFont="1" applyBorder="1"/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9" fontId="99" fillId="62" borderId="0" xfId="33743" applyFont="1" applyFill="1" applyBorder="1" applyAlignment="1">
      <alignment horizontal="center"/>
    </xf>
    <xf numFmtId="9" fontId="99" fillId="62" borderId="0" xfId="0" applyNumberFormat="1" applyFont="1" applyFill="1" applyBorder="1"/>
    <xf numFmtId="3" fontId="2" fillId="69" borderId="39" xfId="0" applyNumberFormat="1" applyFont="1" applyFill="1" applyBorder="1"/>
    <xf numFmtId="0" fontId="91" fillId="69" borderId="80" xfId="0" applyFont="1" applyFill="1" applyBorder="1" applyAlignment="1">
      <alignment horizontal="center"/>
    </xf>
    <xf numFmtId="1" fontId="99" fillId="0" borderId="0" xfId="0" applyNumberFormat="1" applyFont="1"/>
    <xf numFmtId="0" fontId="91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1" fillId="0" borderId="82" xfId="0" applyFont="1" applyBorder="1" applyAlignment="1">
      <alignment horizontal="center"/>
    </xf>
    <xf numFmtId="0" fontId="91" fillId="69" borderId="82" xfId="0" applyFont="1" applyFill="1" applyBorder="1" applyAlignment="1">
      <alignment horizontal="center"/>
    </xf>
    <xf numFmtId="3" fontId="98" fillId="0" borderId="86" xfId="0" applyNumberFormat="1" applyFont="1" applyBorder="1"/>
    <xf numFmtId="3" fontId="98" fillId="0" borderId="87" xfId="0" applyNumberFormat="1" applyFont="1" applyBorder="1"/>
    <xf numFmtId="3" fontId="98" fillId="0" borderId="88" xfId="0" applyNumberFormat="1" applyFont="1" applyBorder="1"/>
    <xf numFmtId="3" fontId="94" fillId="70" borderId="85" xfId="0" applyNumberFormat="1" applyFont="1" applyFill="1" applyBorder="1"/>
    <xf numFmtId="178" fontId="97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4" fontId="0" fillId="68" borderId="84" xfId="0" applyNumberFormat="1" applyFont="1" applyFill="1" applyBorder="1" applyAlignment="1">
      <alignment vertical="center"/>
    </xf>
    <xf numFmtId="3" fontId="94" fillId="70" borderId="98" xfId="0" applyNumberFormat="1" applyFont="1" applyFill="1" applyBorder="1" applyAlignment="1">
      <alignment horizontal="center" vertical="center"/>
    </xf>
    <xf numFmtId="178" fontId="97" fillId="70" borderId="99" xfId="33743" applyNumberFormat="1" applyFont="1" applyFill="1" applyBorder="1" applyAlignment="1">
      <alignment horizontal="center" vertical="center"/>
    </xf>
    <xf numFmtId="0" fontId="91" fillId="69" borderId="100" xfId="0" applyFont="1" applyFill="1" applyBorder="1" applyAlignment="1">
      <alignment horizontal="center"/>
    </xf>
    <xf numFmtId="3" fontId="2" fillId="69" borderId="85" xfId="0" applyNumberFormat="1" applyFont="1" applyFill="1" applyBorder="1"/>
    <xf numFmtId="3" fontId="0" fillId="0" borderId="0" xfId="0" applyNumberFormat="1"/>
    <xf numFmtId="3" fontId="99" fillId="0" borderId="0" xfId="0" applyNumberFormat="1" applyFont="1" applyBorder="1"/>
    <xf numFmtId="0" fontId="0" fillId="0" borderId="0" xfId="33743" applyNumberFormat="1" applyFont="1" applyBorder="1"/>
    <xf numFmtId="167" fontId="34" fillId="0" borderId="0" xfId="0" applyNumberFormat="1" applyFont="1" applyFill="1" applyBorder="1"/>
    <xf numFmtId="167" fontId="99" fillId="0" borderId="0" xfId="0" applyNumberFormat="1" applyFont="1" applyFill="1" applyBorder="1"/>
    <xf numFmtId="181" fontId="94" fillId="0" borderId="0" xfId="0" applyNumberFormat="1" applyFont="1" applyFill="1" applyBorder="1"/>
    <xf numFmtId="0" fontId="104" fillId="0" borderId="0" xfId="0" applyFont="1" applyFill="1" applyBorder="1" applyAlignment="1"/>
    <xf numFmtId="0" fontId="105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5" fillId="68" borderId="32" xfId="33743" applyNumberFormat="1" applyFont="1" applyFill="1" applyBorder="1" applyAlignment="1">
      <alignment horizontal="center"/>
    </xf>
    <xf numFmtId="9" fontId="95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99" fillId="62" borderId="0" xfId="0" applyNumberFormat="1" applyFont="1" applyFill="1" applyBorder="1"/>
    <xf numFmtId="3" fontId="98" fillId="0" borderId="60" xfId="0" applyNumberFormat="1" applyFont="1" applyBorder="1"/>
    <xf numFmtId="3" fontId="98" fillId="0" borderId="108" xfId="0" applyNumberFormat="1" applyFont="1" applyBorder="1"/>
    <xf numFmtId="3" fontId="98" fillId="0" borderId="109" xfId="0" applyNumberFormat="1" applyFont="1" applyBorder="1"/>
    <xf numFmtId="3" fontId="94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4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4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4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5" fillId="0" borderId="73" xfId="33743" applyNumberFormat="1" applyFont="1" applyBorder="1"/>
    <xf numFmtId="9" fontId="95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2" fillId="70" borderId="51" xfId="0" applyFont="1" applyFill="1" applyBorder="1" applyAlignment="1">
      <alignment horizontal="center" vertical="center"/>
    </xf>
    <xf numFmtId="0" fontId="2" fillId="70" borderId="49" xfId="0" applyFont="1" applyFill="1" applyBorder="1" applyAlignment="1">
      <alignment horizontal="center" vertical="center"/>
    </xf>
    <xf numFmtId="0" fontId="2" fillId="70" borderId="57" xfId="0" applyFont="1" applyFill="1" applyBorder="1" applyAlignment="1">
      <alignment horizontal="center" vertical="center"/>
    </xf>
    <xf numFmtId="3" fontId="2" fillId="69" borderId="55" xfId="0" applyNumberFormat="1" applyFont="1" applyFill="1" applyBorder="1" applyAlignment="1">
      <alignment vertical="center"/>
    </xf>
    <xf numFmtId="3" fontId="2" fillId="69" borderId="62" xfId="0" applyNumberFormat="1" applyFont="1" applyFill="1" applyBorder="1" applyAlignment="1">
      <alignment vertical="center"/>
    </xf>
    <xf numFmtId="178" fontId="95" fillId="69" borderId="58" xfId="33743" applyNumberFormat="1" applyFont="1" applyFill="1" applyBorder="1" applyAlignment="1">
      <alignment horizontal="center" vertical="center"/>
    </xf>
    <xf numFmtId="3" fontId="2" fillId="69" borderId="85" xfId="0" applyNumberFormat="1" applyFont="1" applyFill="1" applyBorder="1" applyAlignment="1">
      <alignment vertical="center"/>
    </xf>
    <xf numFmtId="178" fontId="95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4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5" fillId="68" borderId="116" xfId="33743" applyNumberFormat="1" applyFont="1" applyFill="1" applyBorder="1" applyAlignment="1">
      <alignment horizontal="center"/>
    </xf>
    <xf numFmtId="178" fontId="75" fillId="0" borderId="73" xfId="33743" applyNumberFormat="1" applyFont="1" applyBorder="1"/>
    <xf numFmtId="167" fontId="98" fillId="0" borderId="108" xfId="0" applyNumberFormat="1" applyFont="1" applyBorder="1"/>
    <xf numFmtId="180" fontId="0" fillId="0" borderId="0" xfId="33743" applyNumberFormat="1" applyFont="1" applyBorder="1"/>
    <xf numFmtId="9" fontId="102" fillId="71" borderId="26" xfId="33743" applyNumberFormat="1" applyFont="1" applyFill="1" applyBorder="1" applyAlignment="1">
      <alignment horizontal="center"/>
    </xf>
    <xf numFmtId="9" fontId="102" fillId="71" borderId="95" xfId="33743" applyNumberFormat="1" applyFont="1" applyFill="1" applyBorder="1" applyAlignment="1">
      <alignment horizontal="center"/>
    </xf>
    <xf numFmtId="178" fontId="95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182" fontId="0" fillId="68" borderId="30" xfId="0" applyNumberFormat="1" applyFill="1" applyBorder="1"/>
    <xf numFmtId="3" fontId="99" fillId="0" borderId="0" xfId="0" applyNumberFormat="1" applyFont="1" applyFill="1" applyBorder="1" applyAlignment="1"/>
    <xf numFmtId="0" fontId="101" fillId="61" borderId="0" xfId="0" applyFont="1" applyFill="1" applyBorder="1"/>
    <xf numFmtId="1" fontId="99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5" xfId="0" applyNumberFormat="1" applyFill="1" applyBorder="1"/>
    <xf numFmtId="3" fontId="0" fillId="68" borderId="117" xfId="0" applyNumberFormat="1" applyFill="1" applyBorder="1"/>
    <xf numFmtId="178" fontId="95" fillId="68" borderId="25" xfId="33743" applyNumberFormat="1" applyFont="1" applyFill="1" applyBorder="1" applyAlignment="1">
      <alignment horizontal="center" vertical="center"/>
    </xf>
    <xf numFmtId="3" fontId="0" fillId="0" borderId="103" xfId="0" applyNumberFormat="1" applyFill="1" applyBorder="1"/>
    <xf numFmtId="182" fontId="0" fillId="68" borderId="60" xfId="0" applyNumberFormat="1" applyFill="1" applyBorder="1"/>
    <xf numFmtId="3" fontId="0" fillId="68" borderId="63" xfId="0" applyNumberFormat="1" applyFill="1" applyBorder="1"/>
    <xf numFmtId="3" fontId="2" fillId="69" borderId="62" xfId="0" applyNumberFormat="1" applyFont="1" applyFill="1" applyBorder="1"/>
    <xf numFmtId="3" fontId="0" fillId="68" borderId="60" xfId="0" applyNumberFormat="1" applyFill="1" applyBorder="1"/>
    <xf numFmtId="0" fontId="2" fillId="71" borderId="21" xfId="0" applyFont="1" applyFill="1" applyBorder="1" applyAlignment="1">
      <alignment horizontal="center"/>
    </xf>
    <xf numFmtId="0" fontId="2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2" fillId="68" borderId="14" xfId="0" applyFont="1" applyFill="1" applyBorder="1" applyAlignment="1">
      <alignment horizontal="center"/>
    </xf>
    <xf numFmtId="0" fontId="2" fillId="68" borderId="51" xfId="0" applyFont="1" applyFill="1" applyBorder="1" applyAlignment="1">
      <alignment horizontal="center"/>
    </xf>
    <xf numFmtId="0" fontId="103" fillId="0" borderId="31" xfId="0" applyFont="1" applyBorder="1" applyAlignment="1">
      <alignment horizontal="center" vertical="center"/>
    </xf>
    <xf numFmtId="0" fontId="103" fillId="0" borderId="26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2" fillId="68" borderId="46" xfId="0" applyFont="1" applyFill="1" applyBorder="1" applyAlignment="1">
      <alignment horizontal="center"/>
    </xf>
    <xf numFmtId="0" fontId="2" fillId="68" borderId="47" xfId="0" applyFont="1" applyFill="1" applyBorder="1" applyAlignment="1">
      <alignment horizontal="center"/>
    </xf>
    <xf numFmtId="0" fontId="102" fillId="68" borderId="81" xfId="0" applyFont="1" applyFill="1" applyBorder="1" applyAlignment="1">
      <alignment horizontal="center"/>
    </xf>
    <xf numFmtId="0" fontId="10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" fillId="70" borderId="51" xfId="0" applyFont="1" applyFill="1" applyBorder="1" applyAlignment="1">
      <alignment horizontal="center" vertical="center"/>
    </xf>
    <xf numFmtId="0" fontId="2" fillId="70" borderId="64" xfId="0" applyFont="1" applyFill="1" applyBorder="1" applyAlignment="1">
      <alignment horizontal="center" vertical="center"/>
    </xf>
    <xf numFmtId="0" fontId="2" fillId="69" borderId="54" xfId="0" applyFont="1" applyFill="1" applyBorder="1" applyAlignment="1">
      <alignment horizontal="center" vertic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102" fillId="69" borderId="81" xfId="0" applyFont="1" applyFill="1" applyBorder="1" applyAlignment="1">
      <alignment horizontal="center"/>
    </xf>
    <xf numFmtId="0" fontId="102" fillId="69" borderId="54" xfId="0" applyFont="1" applyFill="1" applyBorder="1" applyAlignment="1">
      <alignment horizont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 wrapText="1"/>
    </xf>
    <xf numFmtId="3" fontId="97" fillId="0" borderId="0" xfId="0" applyNumberFormat="1" applyFont="1" applyFill="1" applyBorder="1" applyAlignment="1">
      <alignment horizontal="center" vertical="center"/>
    </xf>
    <xf numFmtId="0" fontId="2" fillId="69" borderId="46" xfId="0" applyFont="1" applyFill="1" applyBorder="1" applyAlignment="1">
      <alignment horizontal="center"/>
    </xf>
    <xf numFmtId="0" fontId="2" fillId="69" borderId="54" xfId="0" applyFont="1" applyFill="1" applyBorder="1" applyAlignment="1">
      <alignment horizontal="center"/>
    </xf>
    <xf numFmtId="0" fontId="95" fillId="69" borderId="81" xfId="0" applyFont="1" applyFill="1" applyBorder="1" applyAlignment="1">
      <alignment horizontal="center"/>
    </xf>
    <xf numFmtId="0" fontId="95" fillId="69" borderId="54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178" fontId="75" fillId="68" borderId="32" xfId="33743" applyNumberFormat="1" applyFont="1" applyFill="1" applyBorder="1"/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Octubre 2019</a:t>
            </a:r>
          </a:p>
          <a:p>
            <a:pPr>
              <a:defRPr sz="800" b="1"/>
            </a:pPr>
            <a:r>
              <a:rPr lang="es-PE" sz="800" b="1"/>
              <a:t>Total : 4 832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Resumen!$Q$11:$R$15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Resumen!$S$11:$S$15</c:f>
              <c:numCache>
                <c:formatCode>#,##0</c:formatCode>
                <c:ptCount val="5"/>
                <c:pt idx="0">
                  <c:v>50.886051076402282</c:v>
                </c:pt>
                <c:pt idx="1">
                  <c:v>166.40570566036001</c:v>
                </c:pt>
                <c:pt idx="2">
                  <c:v>2167.2886887308891</c:v>
                </c:pt>
                <c:pt idx="3">
                  <c:v>2208.5197574489916</c:v>
                </c:pt>
                <c:pt idx="4">
                  <c:v>239.21328012250001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1843.3032087798588</c:v>
                </c:pt>
                <c:pt idx="2">
                  <c:v>0</c:v>
                </c:pt>
                <c:pt idx="3">
                  <c:v>2169.8447039632797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#,##0_ ;_ * \-#,##0_ ;_ * "-"??_ ;_ @_ </c:formatCode>
                <c:ptCount val="4"/>
                <c:pt idx="0">
                  <c:v>72.626617170000003</c:v>
                </c:pt>
                <c:pt idx="1">
                  <c:v>306.10811409340619</c:v>
                </c:pt>
                <c:pt idx="2">
                  <c:v>77.070130602500001</c:v>
                </c:pt>
                <c:pt idx="3">
                  <c:v>51.894276512860415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70.311700444638689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4013.1479127431385</c:v>
                </c:pt>
                <c:pt idx="1">
                  <c:v>507.69913837876658</c:v>
                </c:pt>
                <c:pt idx="2">
                  <c:v>241.32473147260021</c:v>
                </c:pt>
                <c:pt idx="3">
                  <c:v>70.311700444638689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564000"/>
        <c:axId val="495569096"/>
      </c:barChart>
      <c:catAx>
        <c:axId val="4955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5569096"/>
        <c:crosses val="autoZero"/>
        <c:auto val="1"/>
        <c:lblAlgn val="ctr"/>
        <c:lblOffset val="100"/>
        <c:noMultiLvlLbl val="0"/>
      </c:catAx>
      <c:valAx>
        <c:axId val="49556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556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ICA</c:v>
                </c:pt>
                <c:pt idx="5">
                  <c:v>CUSCO</c:v>
                </c:pt>
                <c:pt idx="6">
                  <c:v>PIURA</c:v>
                </c:pt>
                <c:pt idx="7">
                  <c:v>ANCASH</c:v>
                </c:pt>
                <c:pt idx="8">
                  <c:v>AREQUIPA</c:v>
                </c:pt>
                <c:pt idx="9">
                  <c:v>LORETO</c:v>
                </c:pt>
                <c:pt idx="10">
                  <c:v>MOQUEGUA</c:v>
                </c:pt>
                <c:pt idx="11">
                  <c:v>HUANUCO</c:v>
                </c:pt>
                <c:pt idx="12">
                  <c:v>PUNO</c:v>
                </c:pt>
                <c:pt idx="13">
                  <c:v>LA LIBERTAD</c:v>
                </c:pt>
                <c:pt idx="14">
                  <c:v>PASCO</c:v>
                </c:pt>
                <c:pt idx="15">
                  <c:v>UCAYALI</c:v>
                </c:pt>
                <c:pt idx="16">
                  <c:v>CAJAMARCA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2412.082805175336</c:v>
                </c:pt>
                <c:pt idx="1">
                  <c:v>809.02456917476843</c:v>
                </c:pt>
                <c:pt idx="2">
                  <c:v>340.24838223037358</c:v>
                </c:pt>
                <c:pt idx="3">
                  <c:v>174.25210108185726</c:v>
                </c:pt>
                <c:pt idx="4">
                  <c:v>138.06460597335231</c:v>
                </c:pt>
                <c:pt idx="5">
                  <c:v>130.55784547614789</c:v>
                </c:pt>
                <c:pt idx="6">
                  <c:v>129.68383802256693</c:v>
                </c:pt>
                <c:pt idx="7">
                  <c:v>106.73396537442947</c:v>
                </c:pt>
                <c:pt idx="8">
                  <c:v>94.925243505622319</c:v>
                </c:pt>
                <c:pt idx="9">
                  <c:v>70.311700444638689</c:v>
                </c:pt>
                <c:pt idx="10">
                  <c:v>66.628511361244122</c:v>
                </c:pt>
                <c:pt idx="11">
                  <c:v>65.541432432564534</c:v>
                </c:pt>
                <c:pt idx="12">
                  <c:v>60.834373883982657</c:v>
                </c:pt>
                <c:pt idx="13">
                  <c:v>59.270768337156689</c:v>
                </c:pt>
                <c:pt idx="14">
                  <c:v>57.256874279181197</c:v>
                </c:pt>
                <c:pt idx="15">
                  <c:v>48.007782994627881</c:v>
                </c:pt>
                <c:pt idx="16">
                  <c:v>40.252705698501018</c:v>
                </c:pt>
                <c:pt idx="17">
                  <c:v>12.842710337854349</c:v>
                </c:pt>
                <c:pt idx="18">
                  <c:v>4.8944407055527899</c:v>
                </c:pt>
                <c:pt idx="19">
                  <c:v>3.9697046774663112</c:v>
                </c:pt>
                <c:pt idx="20">
                  <c:v>2.7472436341827979</c:v>
                </c:pt>
                <c:pt idx="21">
                  <c:v>2.0686587912713126</c:v>
                </c:pt>
                <c:pt idx="22">
                  <c:v>1.1846152400851391</c:v>
                </c:pt>
                <c:pt idx="23">
                  <c:v>0.94364194846204663</c:v>
                </c:pt>
                <c:pt idx="24">
                  <c:v>0.15496225791808549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95569880"/>
        <c:axId val="495564784"/>
      </c:barChart>
      <c:catAx>
        <c:axId val="49556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95564784"/>
        <c:crosses val="autoZero"/>
        <c:auto val="1"/>
        <c:lblAlgn val="ctr"/>
        <c:lblOffset val="100"/>
        <c:noMultiLvlLbl val="0"/>
      </c:catAx>
      <c:valAx>
        <c:axId val="495564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95569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Resumen!$R$38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Resumen!$R$39:$R$42</c:f>
              <c:numCache>
                <c:formatCode>#,##0</c:formatCode>
                <c:ptCount val="4"/>
                <c:pt idx="0">
                  <c:v>2471.4511212469411</c:v>
                </c:pt>
                <c:pt idx="1">
                  <c:v>2002.8328741509174</c:v>
                </c:pt>
                <c:pt idx="2">
                  <c:v>150.47638046666668</c:v>
                </c:pt>
                <c:pt idx="3">
                  <c:v>74.919142999999991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Resumen!$S$39:$S$42</c:f>
              <c:numCache>
                <c:formatCode>#,##0</c:formatCode>
                <c:ptCount val="4"/>
                <c:pt idx="0">
                  <c:v>2218.1747398072912</c:v>
                </c:pt>
                <c:pt idx="1">
                  <c:v>2374.9254631093518</c:v>
                </c:pt>
                <c:pt idx="2">
                  <c:v>162.14314952000001</c:v>
                </c:pt>
                <c:pt idx="3">
                  <c:v>77.070130602500001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76784"/>
        <c:axId val="446475608"/>
      </c:barChart>
      <c:catAx>
        <c:axId val="44647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5608"/>
        <c:crosses val="autoZero"/>
        <c:auto val="1"/>
        <c:lblAlgn val="ctr"/>
        <c:lblOffset val="100"/>
        <c:noMultiLvlLbl val="0"/>
      </c:catAx>
      <c:valAx>
        <c:axId val="4464756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Resumen!$R$24:$S$24</c:f>
              <c:numCache>
                <c:formatCode>#,##0</c:formatCode>
                <c:ptCount val="2"/>
                <c:pt idx="0">
                  <c:v>223.09340007411814</c:v>
                </c:pt>
                <c:pt idx="1">
                  <c:v>216.56049856717499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Resumen!$R$25:$S$25</c:f>
              <c:numCache>
                <c:formatCode>#,##0</c:formatCode>
                <c:ptCount val="2"/>
                <c:pt idx="0">
                  <c:v>4476.5861187904102</c:v>
                </c:pt>
                <c:pt idx="1">
                  <c:v>4615.9229844719675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473256"/>
        <c:axId val="446474824"/>
        <c:axId val="487456832"/>
      </c:bar3DChart>
      <c:catAx>
        <c:axId val="44647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4824"/>
        <c:crosses val="autoZero"/>
        <c:auto val="1"/>
        <c:lblAlgn val="ctr"/>
        <c:lblOffset val="100"/>
        <c:noMultiLvlLbl val="0"/>
      </c:catAx>
      <c:valAx>
        <c:axId val="44647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3256"/>
        <c:crosses val="autoZero"/>
        <c:crossBetween val="between"/>
      </c:valAx>
      <c:serAx>
        <c:axId val="48745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Resumen!$Q$58:$R$58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Resumen!$T$58:$U$58</c:f>
              <c:numCache>
                <c:formatCode>#,##0</c:formatCode>
                <c:ptCount val="2"/>
                <c:pt idx="0">
                  <c:v>2366.6221964369411</c:v>
                </c:pt>
                <c:pt idx="1">
                  <c:v>2083.1143102722917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Resumen!$T$59:$U$59</c:f>
              <c:numCache>
                <c:formatCode>#,##0</c:formatCode>
                <c:ptCount val="2"/>
                <c:pt idx="0">
                  <c:v>1965.3117741509177</c:v>
                </c:pt>
                <c:pt idx="1">
                  <c:v>2322.3915351652327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Resumen!$T$60:$U$60</c:f>
              <c:numCache>
                <c:formatCode>#,##0</c:formatCode>
                <c:ptCount val="2"/>
                <c:pt idx="0">
                  <c:v>104.82892481</c:v>
                </c:pt>
                <c:pt idx="1">
                  <c:v>135.060429535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Resumen!$T$61:$U$61</c:f>
              <c:numCache>
                <c:formatCode>#,##0</c:formatCode>
                <c:ptCount val="2"/>
                <c:pt idx="0">
                  <c:v>262.91662346666664</c:v>
                </c:pt>
                <c:pt idx="1">
                  <c:v>291.74720806661867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6476392"/>
        <c:axId val="446471688"/>
        <c:axId val="0"/>
      </c:bar3DChart>
      <c:catAx>
        <c:axId val="44647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1688"/>
        <c:crosses val="autoZero"/>
        <c:auto val="1"/>
        <c:lblAlgn val="ctr"/>
        <c:lblOffset val="100"/>
        <c:noMultiLvlLbl val="0"/>
      </c:catAx>
      <c:valAx>
        <c:axId val="44647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6392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2218.1747398072912</c:v>
                </c:pt>
                <c:pt idx="1">
                  <c:v>2225.464448933461</c:v>
                </c:pt>
                <c:pt idx="2">
                  <c:v>96.756596186279239</c:v>
                </c:pt>
                <c:pt idx="3">
                  <c:v>52.533927944118659</c:v>
                </c:pt>
                <c:pt idx="4">
                  <c:v>162.14314952000001</c:v>
                </c:pt>
                <c:pt idx="5">
                  <c:v>77.070130602500001</c:v>
                </c:pt>
                <c:pt idx="6" formatCode="#,##0.0">
                  <c:v>0.34049004549250433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6477176"/>
        <c:axId val="446470120"/>
      </c:barChart>
      <c:catAx>
        <c:axId val="44647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0120"/>
        <c:crosses val="autoZero"/>
        <c:auto val="1"/>
        <c:lblAlgn val="ctr"/>
        <c:lblOffset val="100"/>
        <c:noMultiLvlLbl val="0"/>
      </c:catAx>
      <c:valAx>
        <c:axId val="44647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4436.7628953978619</c:v>
                </c:pt>
                <c:pt idx="1">
                  <c:v>4540.7362749725235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262.91662346666664</c:v>
                </c:pt>
                <c:pt idx="1">
                  <c:v>291.74720806661867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46470904"/>
        <c:axId val="446472080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6645806482544E-2"/>
                  <c:y val="2.2061885673757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42725116544E-2"/>
                  <c:y val="3.5246316063627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5.5943521768094716E-2</c:v>
                </c:pt>
                <c:pt idx="1">
                  <c:v>6.0372106617763183E-2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72864"/>
        <c:axId val="446472472"/>
      </c:lineChart>
      <c:catAx>
        <c:axId val="4464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2080"/>
        <c:crosses val="autoZero"/>
        <c:auto val="1"/>
        <c:lblAlgn val="ctr"/>
        <c:lblOffset val="100"/>
        <c:noMultiLvlLbl val="1"/>
      </c:catAx>
      <c:valAx>
        <c:axId val="446472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0904"/>
        <c:crosses val="autoZero"/>
        <c:crossBetween val="between"/>
        <c:majorUnit val="1000"/>
      </c:valAx>
      <c:valAx>
        <c:axId val="446472472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2864"/>
        <c:crosses val="max"/>
        <c:crossBetween val="between"/>
      </c:valAx>
      <c:catAx>
        <c:axId val="44647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6472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2471.4511212469411</c:v>
                </c:pt>
                <c:pt idx="1">
                  <c:v>1779.8370809999997</c:v>
                </c:pt>
                <c:pt idx="2">
                  <c:v>185.05444315092154</c:v>
                </c:pt>
                <c:pt idx="3" formatCode="#,##0.00">
                  <c:v>0.42025000000000001</c:v>
                </c:pt>
                <c:pt idx="4">
                  <c:v>37.521099999999961</c:v>
                </c:pt>
                <c:pt idx="5">
                  <c:v>150.47638046666668</c:v>
                </c:pt>
                <c:pt idx="6">
                  <c:v>74.919142999999991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2218.1747398072912</c:v>
                </c:pt>
                <c:pt idx="1">
                  <c:v>2225.464448933461</c:v>
                </c:pt>
                <c:pt idx="2">
                  <c:v>96.756596186279239</c:v>
                </c:pt>
                <c:pt idx="3" formatCode="#,##0.00">
                  <c:v>0.34049004549250433</c:v>
                </c:pt>
                <c:pt idx="4">
                  <c:v>52.533927944118659</c:v>
                </c:pt>
                <c:pt idx="5">
                  <c:v>162.14314952000001</c:v>
                </c:pt>
                <c:pt idx="6">
                  <c:v>77.070130602500001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#,##0_ ;_ * \-#,##0_ ;_ * "-"??_ ;_ @_ </c:formatCode>
                <c:ptCount val="4"/>
                <c:pt idx="0">
                  <c:v>89.516532350000006</c:v>
                </c:pt>
                <c:pt idx="1">
                  <c:v>68.763416934026282</c:v>
                </c:pt>
                <c:pt idx="2">
                  <c:v>0</c:v>
                </c:pt>
                <c:pt idx="3">
                  <c:v>83.044782188573919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octubre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72B4A0-ACF6-4A02-AB49-7D914ABA0AC5}"/>
            </a:ext>
          </a:extLst>
        </xdr:cNvPr>
        <xdr:cNvGrpSpPr/>
      </xdr:nvGrpSpPr>
      <xdr:grpSpPr>
        <a:xfrm>
          <a:off x="709894" y="1188664"/>
          <a:ext cx="6624357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4762</xdr:colOff>
      <xdr:row>61</xdr:row>
      <xdr:rowOff>23813</xdr:rowOff>
    </xdr:from>
    <xdr:to>
      <xdr:col>8</xdr:col>
      <xdr:colOff>144065</xdr:colOff>
      <xdr:row>70</xdr:row>
      <xdr:rowOff>45244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33D9356-7DA4-46CB-9FFF-22B755365656}"/>
            </a:ext>
          </a:extLst>
        </xdr:cNvPr>
        <xdr:cNvGrpSpPr/>
      </xdr:nvGrpSpPr>
      <xdr:grpSpPr>
        <a:xfrm>
          <a:off x="397933" y="3235628"/>
          <a:ext cx="4353902" cy="5407325"/>
          <a:chOff x="400050" y="3268436"/>
          <a:chExt cx="4341202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CF050816-9D44-4E6B-8468-B7C1BCBFF582}"/>
              </a:ext>
            </a:extLst>
          </xdr:cNvPr>
          <xdr:cNvGrpSpPr/>
        </xdr:nvGrpSpPr>
        <xdr:grpSpPr>
          <a:xfrm>
            <a:off x="400050" y="3268436"/>
            <a:ext cx="4341202" cy="5497284"/>
            <a:chOff x="395288" y="3289867"/>
            <a:chExt cx="4500745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395288" y="4326731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595438" y="5476875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964840" y="6731610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814513" y="373618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3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="110" zoomScaleNormal="120" zoomScaleSheetLayoutView="110" workbookViewId="0">
      <selection activeCell="C38" sqref="C38:J48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83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119</v>
      </c>
    </row>
    <row r="8" spans="2:19" s="1" customFormat="1">
      <c r="B8" s="8"/>
      <c r="C8" s="134"/>
      <c r="D8" s="134"/>
      <c r="E8" s="134"/>
      <c r="F8" s="134"/>
      <c r="G8" s="134"/>
      <c r="H8" s="9"/>
      <c r="I8" s="9"/>
      <c r="J8" s="9"/>
      <c r="K8" s="9"/>
    </row>
    <row r="9" spans="2:19" s="1" customFormat="1" ht="25.5">
      <c r="B9" s="8"/>
      <c r="C9" s="188" t="s">
        <v>63</v>
      </c>
      <c r="D9" s="189" t="s">
        <v>70</v>
      </c>
      <c r="E9" s="190" t="s">
        <v>71</v>
      </c>
      <c r="F9" s="191" t="s">
        <v>72</v>
      </c>
      <c r="G9" s="192" t="s">
        <v>73</v>
      </c>
      <c r="H9" s="9"/>
      <c r="I9" s="9"/>
      <c r="J9" s="9"/>
      <c r="K9" s="9"/>
    </row>
    <row r="10" spans="2:19" s="1" customFormat="1" ht="13.5" thickBot="1">
      <c r="B10" s="8"/>
      <c r="C10" s="193" t="s">
        <v>64</v>
      </c>
      <c r="D10" s="194"/>
      <c r="E10" s="195"/>
      <c r="F10" s="196"/>
      <c r="G10" s="197"/>
      <c r="H10" s="9"/>
      <c r="I10" s="9"/>
      <c r="J10" s="9"/>
      <c r="K10" s="9"/>
    </row>
    <row r="11" spans="2:19" s="1" customFormat="1" ht="13.5" thickTop="1">
      <c r="B11" s="8"/>
      <c r="C11" s="135"/>
      <c r="D11" s="136"/>
      <c r="E11" s="137"/>
      <c r="F11" s="138"/>
      <c r="G11" s="139"/>
      <c r="H11" s="9"/>
      <c r="I11" s="9"/>
      <c r="J11" s="9"/>
      <c r="K11" s="9"/>
      <c r="Q11" s="366" t="s">
        <v>65</v>
      </c>
      <c r="R11" s="151" t="s">
        <v>41</v>
      </c>
      <c r="S11" s="152">
        <f>E12</f>
        <v>50.886051076402282</v>
      </c>
    </row>
    <row r="12" spans="2:19" s="1" customFormat="1">
      <c r="B12" s="8"/>
      <c r="C12" s="140" t="s">
        <v>67</v>
      </c>
      <c r="D12" s="141">
        <v>2167.2886887308891</v>
      </c>
      <c r="E12" s="142">
        <v>50.886051076402282</v>
      </c>
      <c r="F12" s="143">
        <f>SUM(D12:E12)</f>
        <v>2218.1747398072912</v>
      </c>
      <c r="G12" s="144">
        <f>(F12/F$16)</f>
        <v>0.45902956163602088</v>
      </c>
      <c r="H12" s="9"/>
      <c r="I12" s="9"/>
      <c r="J12" s="9"/>
      <c r="K12" s="9"/>
      <c r="Q12" s="366"/>
      <c r="R12" s="151" t="s">
        <v>74</v>
      </c>
      <c r="S12" s="152">
        <f>E13</f>
        <v>166.40570566036001</v>
      </c>
    </row>
    <row r="13" spans="2:19" s="1" customFormat="1">
      <c r="B13" s="8"/>
      <c r="C13" s="140" t="s">
        <v>66</v>
      </c>
      <c r="D13" s="141">
        <v>2208.5197574489916</v>
      </c>
      <c r="E13" s="142">
        <f>166.57570566036-0.17</f>
        <v>166.40570566036001</v>
      </c>
      <c r="F13" s="143">
        <f>SUM(D13:E13)</f>
        <v>2374.9254631093518</v>
      </c>
      <c r="G13" s="144">
        <f>(F13/F$16)</f>
        <v>0.49146759030536058</v>
      </c>
      <c r="H13" s="9"/>
      <c r="I13" s="9"/>
      <c r="J13" s="9"/>
      <c r="K13" s="9"/>
      <c r="Q13" s="366" t="s">
        <v>90</v>
      </c>
      <c r="R13" s="151" t="s">
        <v>41</v>
      </c>
      <c r="S13" s="152">
        <f>D12</f>
        <v>2167.2886887308891</v>
      </c>
    </row>
    <row r="14" spans="2:19" s="1" customFormat="1">
      <c r="B14" s="8"/>
      <c r="C14" s="140" t="s">
        <v>68</v>
      </c>
      <c r="D14" s="141">
        <v>162.14314952000001</v>
      </c>
      <c r="E14" s="145"/>
      <c r="F14" s="143">
        <f>SUM(D14:E14)</f>
        <v>162.14314952000001</v>
      </c>
      <c r="G14" s="144">
        <f>(F14/F$16)</f>
        <v>3.3553938520152621E-2</v>
      </c>
      <c r="H14" s="9"/>
      <c r="I14" s="9"/>
      <c r="J14" s="9"/>
      <c r="K14" s="9"/>
      <c r="Q14" s="366"/>
      <c r="R14" s="151" t="s">
        <v>74</v>
      </c>
      <c r="S14" s="152">
        <f>D13</f>
        <v>2208.5197574489916</v>
      </c>
    </row>
    <row r="15" spans="2:19" s="1" customFormat="1" ht="13.5" thickBot="1">
      <c r="B15" s="8"/>
      <c r="C15" s="146" t="s">
        <v>5</v>
      </c>
      <c r="D15" s="147">
        <v>77.070130602500001</v>
      </c>
      <c r="E15" s="148"/>
      <c r="F15" s="149">
        <f>SUM(D15:E15)</f>
        <v>77.070130602500001</v>
      </c>
      <c r="G15" s="150">
        <f>(F15/F$16)</f>
        <v>1.5948909538465821E-2</v>
      </c>
      <c r="H15" s="9"/>
      <c r="I15" s="9"/>
      <c r="J15" s="9"/>
      <c r="K15" s="9"/>
      <c r="Q15" s="366"/>
      <c r="R15" s="151" t="s">
        <v>89</v>
      </c>
      <c r="S15" s="152">
        <f>SUM(D14:D15)</f>
        <v>239.21328012250001</v>
      </c>
    </row>
    <row r="16" spans="2:19" s="1" customFormat="1" ht="13.5" thickTop="1">
      <c r="B16" s="8"/>
      <c r="C16" s="259" t="s">
        <v>72</v>
      </c>
      <c r="D16" s="260">
        <f>SUM(D12:D15)</f>
        <v>4615.0217263023815</v>
      </c>
      <c r="E16" s="261">
        <f>SUM(E12:E15)</f>
        <v>217.2917567367623</v>
      </c>
      <c r="F16" s="262">
        <f>SUM(F12:F15)</f>
        <v>4832.3134830391436</v>
      </c>
      <c r="G16" s="263"/>
      <c r="H16" s="9"/>
      <c r="I16" s="9"/>
      <c r="J16" s="9"/>
      <c r="K16" s="9"/>
    </row>
    <row r="17" spans="2:19" s="1" customFormat="1">
      <c r="B17" s="8"/>
      <c r="C17" s="264" t="s">
        <v>115</v>
      </c>
      <c r="D17" s="337">
        <f>D16/F16</f>
        <v>0.95503359674420318</v>
      </c>
      <c r="E17" s="338">
        <f>E16/F16</f>
        <v>4.4966403255796837E-2</v>
      </c>
      <c r="F17" s="265"/>
      <c r="G17" s="266"/>
      <c r="H17" s="9"/>
      <c r="I17" s="9"/>
      <c r="J17" s="9"/>
      <c r="K17" s="9"/>
    </row>
    <row r="18" spans="2:19" s="1" customFormat="1">
      <c r="B18" s="8"/>
      <c r="C18" s="135"/>
      <c r="D18" s="135"/>
      <c r="E18" s="135"/>
      <c r="F18" s="135"/>
      <c r="G18" s="135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120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5"/>
      <c r="D22" s="135"/>
      <c r="E22" s="135"/>
      <c r="F22" s="135"/>
      <c r="G22" s="135"/>
      <c r="H22" s="9"/>
      <c r="I22" s="9"/>
      <c r="J22" s="9"/>
      <c r="K22" s="9"/>
    </row>
    <row r="23" spans="2:19" s="1" customFormat="1" ht="12.75" customHeight="1">
      <c r="B23" s="8"/>
      <c r="C23" s="362" t="s">
        <v>118</v>
      </c>
      <c r="D23" s="363"/>
      <c r="E23" s="367" t="s">
        <v>126</v>
      </c>
      <c r="F23" s="368"/>
      <c r="G23" s="156" t="s">
        <v>75</v>
      </c>
      <c r="H23" s="369" t="s">
        <v>127</v>
      </c>
      <c r="I23" s="370"/>
      <c r="J23" s="156" t="s">
        <v>75</v>
      </c>
      <c r="K23" s="9"/>
      <c r="Q23" s="151"/>
      <c r="R23" s="151">
        <v>2018</v>
      </c>
      <c r="S23" s="151">
        <v>2019</v>
      </c>
    </row>
    <row r="24" spans="2:19" s="1" customFormat="1" ht="12.75" customHeight="1">
      <c r="B24" s="8"/>
      <c r="C24" s="157"/>
      <c r="D24" s="158"/>
      <c r="E24" s="159">
        <v>2018</v>
      </c>
      <c r="F24" s="160">
        <v>2019</v>
      </c>
      <c r="G24" s="161"/>
      <c r="H24" s="247">
        <v>2018</v>
      </c>
      <c r="I24" s="160">
        <v>2019</v>
      </c>
      <c r="J24" s="161"/>
      <c r="K24" s="9"/>
      <c r="Q24" s="151" t="s">
        <v>77</v>
      </c>
      <c r="R24" s="152">
        <f>E29</f>
        <v>223.09340007411814</v>
      </c>
      <c r="S24" s="152">
        <f>F29</f>
        <v>216.56049856717499</v>
      </c>
    </row>
    <row r="25" spans="2:19" s="1" customFormat="1">
      <c r="B25" s="8"/>
      <c r="C25" s="358" t="s">
        <v>0</v>
      </c>
      <c r="D25" s="359"/>
      <c r="E25" s="198">
        <f>SUM(E26:E28)</f>
        <v>4476.5861187904102</v>
      </c>
      <c r="F25" s="199">
        <f>SUM(F26:F28)</f>
        <v>4615.9229844719675</v>
      </c>
      <c r="G25" s="200">
        <f>((F25/E25)-1)</f>
        <v>3.1125697570452804E-2</v>
      </c>
      <c r="H25" s="248">
        <f>SUM(H26:H28)</f>
        <v>43352.998687881744</v>
      </c>
      <c r="I25" s="199">
        <f>SUM(I26:I28)</f>
        <v>45222.813631717465</v>
      </c>
      <c r="J25" s="200">
        <f>((I25/H25)-1)</f>
        <v>4.3130002547168145E-2</v>
      </c>
      <c r="K25" s="9"/>
      <c r="Q25" s="151" t="s">
        <v>0</v>
      </c>
      <c r="R25" s="152">
        <f>E25</f>
        <v>4476.5861187904102</v>
      </c>
      <c r="S25" s="152">
        <f>F25</f>
        <v>4615.9229844719675</v>
      </c>
    </row>
    <row r="26" spans="2:19" s="1" customFormat="1">
      <c r="B26" s="8"/>
      <c r="C26" s="282" t="s">
        <v>63</v>
      </c>
      <c r="D26" s="291" t="s">
        <v>107</v>
      </c>
      <c r="E26" s="163">
        <v>4355.5052746066685</v>
      </c>
      <c r="F26" s="164">
        <v>4482.5706027575025</v>
      </c>
      <c r="G26" s="165">
        <f t="shared" ref="G26:G32" si="0">((F26/E26)-1)</f>
        <v>2.9173498857100855E-2</v>
      </c>
      <c r="H26" s="249">
        <v>42049.376492364172</v>
      </c>
      <c r="I26" s="164">
        <v>43900.212595412508</v>
      </c>
      <c r="J26" s="165">
        <f t="shared" ref="J26:J32" si="1">((I26/H26)-1)</f>
        <v>4.4015779957746304E-2</v>
      </c>
      <c r="K26" s="9"/>
    </row>
    <row r="27" spans="2:19" s="1" customFormat="1">
      <c r="B27" s="8"/>
      <c r="C27" s="283" t="s">
        <v>112</v>
      </c>
      <c r="D27" s="292" t="s">
        <v>78</v>
      </c>
      <c r="E27" s="285">
        <v>81.493843000000012</v>
      </c>
      <c r="F27" s="286">
        <v>87.685412799745237</v>
      </c>
      <c r="G27" s="295">
        <f t="shared" si="0"/>
        <v>7.5975921269846314E-2</v>
      </c>
      <c r="H27" s="287">
        <v>857.27170599999988</v>
      </c>
      <c r="I27" s="286">
        <v>871.52781385951971</v>
      </c>
      <c r="J27" s="295">
        <f t="shared" si="1"/>
        <v>1.6629626009749376E-2</v>
      </c>
      <c r="K27" s="9"/>
    </row>
    <row r="28" spans="2:19" s="1" customFormat="1">
      <c r="B28" s="8"/>
      <c r="C28" s="284" t="s">
        <v>65</v>
      </c>
      <c r="D28" s="293" t="s">
        <v>78</v>
      </c>
      <c r="E28" s="163">
        <v>39.587001183741059</v>
      </c>
      <c r="F28" s="164">
        <v>45.666968914719995</v>
      </c>
      <c r="G28" s="294">
        <f t="shared" si="0"/>
        <v>0.15358495337292855</v>
      </c>
      <c r="H28" s="249">
        <v>446.35048951757034</v>
      </c>
      <c r="I28" s="164">
        <v>451.07322244544275</v>
      </c>
      <c r="J28" s="294">
        <f t="shared" si="1"/>
        <v>1.0580772372350111E-2</v>
      </c>
      <c r="K28" s="9"/>
    </row>
    <row r="29" spans="2:19" s="1" customFormat="1">
      <c r="B29" s="8"/>
      <c r="C29" s="358" t="s">
        <v>77</v>
      </c>
      <c r="D29" s="359"/>
      <c r="E29" s="198">
        <f>SUM(E30:E31)</f>
        <v>223.09340007411814</v>
      </c>
      <c r="F29" s="199">
        <f>SUM(F30:F31)</f>
        <v>216.56049856717499</v>
      </c>
      <c r="G29" s="200">
        <f t="shared" si="0"/>
        <v>-2.9283257616642744E-2</v>
      </c>
      <c r="H29" s="248">
        <f>SUM(H30:H31)</f>
        <v>2058.7304054559072</v>
      </c>
      <c r="I29" s="199">
        <f>SUM(I30:I31)</f>
        <v>2043.2508460595639</v>
      </c>
      <c r="J29" s="200">
        <f t="shared" si="1"/>
        <v>-7.5189832312770877E-3</v>
      </c>
      <c r="K29" s="9"/>
      <c r="Q29" s="151"/>
      <c r="R29" s="151"/>
      <c r="S29" s="151"/>
    </row>
    <row r="30" spans="2:19" s="1" customFormat="1">
      <c r="B30" s="8"/>
      <c r="C30" s="288" t="s">
        <v>69</v>
      </c>
      <c r="D30" s="158"/>
      <c r="E30" s="163">
        <v>45.521784106940736</v>
      </c>
      <c r="F30" s="164">
        <v>44.765710745133099</v>
      </c>
      <c r="G30" s="165">
        <f t="shared" si="0"/>
        <v>-1.6609045024058244E-2</v>
      </c>
      <c r="H30" s="249">
        <v>431.57087707177129</v>
      </c>
      <c r="I30" s="164">
        <v>439.60480309244161</v>
      </c>
      <c r="J30" s="294">
        <f t="shared" si="1"/>
        <v>1.861554253887765E-2</v>
      </c>
      <c r="K30" s="9"/>
    </row>
    <row r="31" spans="2:19" s="1" customFormat="1" ht="13.5" thickBot="1">
      <c r="B31" s="8"/>
      <c r="C31" s="289" t="s">
        <v>65</v>
      </c>
      <c r="D31" s="290"/>
      <c r="E31" s="167">
        <v>177.57161596717739</v>
      </c>
      <c r="F31" s="168">
        <v>171.79478782204188</v>
      </c>
      <c r="G31" s="169">
        <f t="shared" si="0"/>
        <v>-3.2532384827782979E-2</v>
      </c>
      <c r="H31" s="250">
        <v>1627.1595283841357</v>
      </c>
      <c r="I31" s="168">
        <v>1603.6460429671222</v>
      </c>
      <c r="J31" s="319">
        <f t="shared" si="1"/>
        <v>-1.4450633147423342E-2</v>
      </c>
      <c r="K31" s="9"/>
    </row>
    <row r="32" spans="2:19" s="1" customFormat="1" ht="14.25" thickTop="1" thickBot="1">
      <c r="B32" s="8"/>
      <c r="C32" s="360" t="s">
        <v>114</v>
      </c>
      <c r="D32" s="361"/>
      <c r="E32" s="201">
        <f>SUM(E25,E29)</f>
        <v>4699.6795188645283</v>
      </c>
      <c r="F32" s="202">
        <f>SUM(F25,F29)</f>
        <v>4832.4834830391428</v>
      </c>
      <c r="G32" s="203">
        <f t="shared" si="0"/>
        <v>2.8258089438128575E-2</v>
      </c>
      <c r="H32" s="251">
        <f>SUM(H25,H29)</f>
        <v>45411.72909333765</v>
      </c>
      <c r="I32" s="202">
        <f>SUM(I25,I29)</f>
        <v>47266.064477777029</v>
      </c>
      <c r="J32" s="203">
        <f t="shared" si="1"/>
        <v>4.0833842301579049E-2</v>
      </c>
      <c r="K32" s="9"/>
    </row>
    <row r="33" spans="2:19" s="1" customFormat="1">
      <c r="B33" s="8"/>
      <c r="C33" s="330" t="s">
        <v>108</v>
      </c>
      <c r="D33" s="170"/>
      <c r="E33" s="170"/>
      <c r="F33" s="171"/>
      <c r="G33" s="134"/>
      <c r="H33" s="170"/>
      <c r="I33" s="170"/>
      <c r="J33" s="134"/>
      <c r="K33" s="9"/>
    </row>
    <row r="34" spans="2:19" s="1" customFormat="1">
      <c r="B34" s="8"/>
      <c r="C34" s="91"/>
      <c r="D34" s="92"/>
      <c r="E34" s="92"/>
      <c r="F34" s="93"/>
      <c r="G34" s="9"/>
      <c r="H34" s="9"/>
      <c r="I34" s="9"/>
      <c r="J34" s="9"/>
      <c r="K34" s="9"/>
    </row>
    <row r="35" spans="2:19" s="1" customFormat="1">
      <c r="B35" s="8"/>
      <c r="C35" s="10" t="s">
        <v>121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54"/>
      <c r="D38" s="155"/>
      <c r="E38" s="367" t="s">
        <v>126</v>
      </c>
      <c r="F38" s="368"/>
      <c r="G38" s="364" t="s">
        <v>75</v>
      </c>
      <c r="H38" s="369" t="s">
        <v>127</v>
      </c>
      <c r="I38" s="370"/>
      <c r="J38" s="364" t="s">
        <v>75</v>
      </c>
      <c r="K38" s="9"/>
      <c r="Q38" s="151"/>
      <c r="R38" s="151">
        <v>2018</v>
      </c>
      <c r="S38" s="151">
        <v>2019</v>
      </c>
    </row>
    <row r="39" spans="2:19" s="1" customFormat="1" ht="12.75" customHeight="1">
      <c r="B39" s="8"/>
      <c r="C39" s="157" t="s">
        <v>76</v>
      </c>
      <c r="D39" s="158"/>
      <c r="E39" s="95">
        <v>2018</v>
      </c>
      <c r="F39" s="96">
        <v>2019</v>
      </c>
      <c r="G39" s="365"/>
      <c r="H39" s="252">
        <v>2018</v>
      </c>
      <c r="I39" s="96">
        <v>2019</v>
      </c>
      <c r="J39" s="365"/>
      <c r="K39" s="9"/>
      <c r="Q39" s="151" t="s">
        <v>67</v>
      </c>
      <c r="R39" s="152">
        <f>SUM(E41,E46)</f>
        <v>2471.4511212469411</v>
      </c>
      <c r="S39" s="152">
        <f>SUM(F41,F46)</f>
        <v>2218.1747398072912</v>
      </c>
    </row>
    <row r="40" spans="2:19" s="1" customFormat="1">
      <c r="B40" s="8"/>
      <c r="C40" s="358" t="s">
        <v>69</v>
      </c>
      <c r="D40" s="359"/>
      <c r="E40" s="198">
        <f>SUM(E41:E44)</f>
        <v>4482.5209017136067</v>
      </c>
      <c r="F40" s="199">
        <f>SUM(F41:F44)</f>
        <v>4615.0217263023815</v>
      </c>
      <c r="G40" s="200">
        <f>((F40/E40)-1)</f>
        <v>2.9559443780423189E-2</v>
      </c>
      <c r="H40" s="248">
        <f>SUM(H41:H44)</f>
        <v>43338.21907543594</v>
      </c>
      <c r="I40" s="199">
        <f>SUM(I41:I44)</f>
        <v>45211.345212364467</v>
      </c>
      <c r="J40" s="200">
        <f>((I40/H40)-1)</f>
        <v>4.3221114685587425E-2</v>
      </c>
      <c r="K40" s="9"/>
      <c r="Q40" s="151" t="s">
        <v>66</v>
      </c>
      <c r="R40" s="152">
        <f>SUM(E42,E47)</f>
        <v>2002.8328741509174</v>
      </c>
      <c r="S40" s="152">
        <f>SUM(F42,F47)</f>
        <v>2374.9254631093518</v>
      </c>
    </row>
    <row r="41" spans="2:19" s="1" customFormat="1">
      <c r="B41" s="8"/>
      <c r="C41" s="162" t="s">
        <v>67</v>
      </c>
      <c r="D41" s="135"/>
      <c r="E41" s="163">
        <v>2418.0309702469413</v>
      </c>
      <c r="F41" s="164">
        <f>D12</f>
        <v>2167.2886887308891</v>
      </c>
      <c r="G41" s="294">
        <f t="shared" ref="G41:G48" si="2">((F41/E41)-1)</f>
        <v>-0.10369688585520687</v>
      </c>
      <c r="H41" s="249">
        <v>24865.786620669271</v>
      </c>
      <c r="I41" s="164">
        <v>25003.099265437973</v>
      </c>
      <c r="J41" s="294">
        <f t="shared" ref="J41:J48" si="3">((I41/H41)-1)</f>
        <v>5.5221516561461126E-3</v>
      </c>
      <c r="K41" s="9"/>
      <c r="Q41" s="151" t="s">
        <v>68</v>
      </c>
      <c r="R41" s="152">
        <f>E43</f>
        <v>150.47638046666668</v>
      </c>
      <c r="S41" s="152">
        <f>F43</f>
        <v>162.14314952000001</v>
      </c>
    </row>
    <row r="42" spans="2:19" s="1" customFormat="1">
      <c r="B42" s="8"/>
      <c r="C42" s="162" t="s">
        <v>66</v>
      </c>
      <c r="D42" s="135"/>
      <c r="E42" s="163">
        <v>1839.094407999999</v>
      </c>
      <c r="F42" s="164">
        <f>D13</f>
        <v>2208.5197574489916</v>
      </c>
      <c r="G42" s="294">
        <f t="shared" si="2"/>
        <v>0.20087351026788225</v>
      </c>
      <c r="H42" s="249">
        <v>16658.70819795</v>
      </c>
      <c r="I42" s="164">
        <v>18211.504892278994</v>
      </c>
      <c r="J42" s="294">
        <f t="shared" si="3"/>
        <v>9.3212311295546968E-2</v>
      </c>
      <c r="K42" s="9"/>
      <c r="Q42" s="151" t="s">
        <v>5</v>
      </c>
      <c r="R42" s="152">
        <f>E44</f>
        <v>74.919142999999991</v>
      </c>
      <c r="S42" s="152">
        <f>F44</f>
        <v>77.070130602500001</v>
      </c>
    </row>
    <row r="43" spans="2:19" s="1" customFormat="1">
      <c r="B43" s="8"/>
      <c r="C43" s="162" t="s">
        <v>68</v>
      </c>
      <c r="D43" s="135"/>
      <c r="E43" s="163">
        <v>150.47638046666668</v>
      </c>
      <c r="F43" s="164">
        <f>D14</f>
        <v>162.14314952000001</v>
      </c>
      <c r="G43" s="294">
        <f t="shared" si="2"/>
        <v>7.7532228095543054E-2</v>
      </c>
      <c r="H43" s="249">
        <v>1221.6959058166667</v>
      </c>
      <c r="I43" s="164">
        <v>1387.6711204849998</v>
      </c>
      <c r="J43" s="294">
        <f t="shared" si="3"/>
        <v>0.13585640573738655</v>
      </c>
      <c r="K43" s="9"/>
    </row>
    <row r="44" spans="2:19" s="1" customFormat="1">
      <c r="B44" s="8"/>
      <c r="C44" s="162" t="s">
        <v>5</v>
      </c>
      <c r="D44" s="135"/>
      <c r="E44" s="163">
        <v>74.919142999999991</v>
      </c>
      <c r="F44" s="164">
        <f>D15</f>
        <v>77.070130602500001</v>
      </c>
      <c r="G44" s="94">
        <f t="shared" si="2"/>
        <v>2.8710787608715815E-2</v>
      </c>
      <c r="H44" s="249">
        <v>592.02835100000016</v>
      </c>
      <c r="I44" s="164">
        <v>609.06993416249998</v>
      </c>
      <c r="J44" s="165">
        <f t="shared" si="3"/>
        <v>2.8785079521470136E-2</v>
      </c>
      <c r="K44" s="9"/>
      <c r="Q44" s="151"/>
      <c r="R44" s="151"/>
      <c r="S44" s="151"/>
    </row>
    <row r="45" spans="2:19" s="1" customFormat="1">
      <c r="B45" s="8"/>
      <c r="C45" s="358" t="s">
        <v>65</v>
      </c>
      <c r="D45" s="359"/>
      <c r="E45" s="198">
        <f>SUM(E46:E47)</f>
        <v>217.1586171509183</v>
      </c>
      <c r="F45" s="199">
        <f>SUM(F46:F47)</f>
        <v>217.2917567367623</v>
      </c>
      <c r="G45" s="200">
        <f t="shared" si="2"/>
        <v>6.1309833149048032E-4</v>
      </c>
      <c r="H45" s="248">
        <f>SUM(H46:H47)</f>
        <v>2073.5100179017054</v>
      </c>
      <c r="I45" s="199">
        <f>SUM(I46:I47)</f>
        <v>2054.7192654125647</v>
      </c>
      <c r="J45" s="200">
        <f t="shared" si="3"/>
        <v>-9.0622916344316184E-3</v>
      </c>
      <c r="K45" s="9"/>
    </row>
    <row r="46" spans="2:19" s="1" customFormat="1">
      <c r="B46" s="8"/>
      <c r="C46" s="162" t="s">
        <v>67</v>
      </c>
      <c r="D46" s="135"/>
      <c r="E46" s="163">
        <v>53.420151000000004</v>
      </c>
      <c r="F46" s="164">
        <f>E12</f>
        <v>50.886051076402282</v>
      </c>
      <c r="G46" s="165">
        <f t="shared" si="2"/>
        <v>-4.7437153885950711E-2</v>
      </c>
      <c r="H46" s="249">
        <v>619.85089322790782</v>
      </c>
      <c r="I46" s="164">
        <v>579.95585550725116</v>
      </c>
      <c r="J46" s="165">
        <f t="shared" si="3"/>
        <v>-6.4362313834704699E-2</v>
      </c>
      <c r="K46" s="9"/>
    </row>
    <row r="47" spans="2:19" s="1" customFormat="1" ht="13.5" thickBot="1">
      <c r="B47" s="8"/>
      <c r="C47" s="166" t="s">
        <v>66</v>
      </c>
      <c r="D47" s="135"/>
      <c r="E47" s="167">
        <v>163.7384661509183</v>
      </c>
      <c r="F47" s="168">
        <f>E13</f>
        <v>166.40570566036001</v>
      </c>
      <c r="G47" s="319">
        <f t="shared" si="2"/>
        <v>1.6289632925859499E-2</v>
      </c>
      <c r="H47" s="250">
        <v>1453.6591246737978</v>
      </c>
      <c r="I47" s="168">
        <v>1474.7634099053137</v>
      </c>
      <c r="J47" s="169">
        <f t="shared" si="3"/>
        <v>1.4518042691921806E-2</v>
      </c>
      <c r="K47" s="9"/>
    </row>
    <row r="48" spans="2:19" s="1" customFormat="1" ht="14.25" thickTop="1" thickBot="1">
      <c r="B48" s="8"/>
      <c r="C48" s="360" t="s">
        <v>114</v>
      </c>
      <c r="D48" s="361"/>
      <c r="E48" s="201">
        <f>SUM(E40,E45)</f>
        <v>4699.6795188645247</v>
      </c>
      <c r="F48" s="202">
        <f>SUM(F40,F45)</f>
        <v>4832.3134830391436</v>
      </c>
      <c r="G48" s="203">
        <f t="shared" si="2"/>
        <v>2.8221916758839782E-2</v>
      </c>
      <c r="H48" s="251">
        <f>SUM(H40,H45)</f>
        <v>45411.729093337643</v>
      </c>
      <c r="I48" s="202">
        <f>SUM(I40,I45)</f>
        <v>47266.064477777036</v>
      </c>
      <c r="J48" s="203">
        <f t="shared" si="3"/>
        <v>4.0833842301579271E-2</v>
      </c>
      <c r="K48" s="9"/>
    </row>
    <row r="49" spans="2:23" s="1" customFormat="1">
      <c r="B49" s="8"/>
      <c r="C49" s="280"/>
      <c r="D49" s="91"/>
      <c r="E49" s="92"/>
      <c r="F49" s="92"/>
      <c r="G49" s="97"/>
      <c r="H49" s="9"/>
      <c r="I49" s="9"/>
      <c r="J49" s="9"/>
      <c r="K49" s="9"/>
    </row>
    <row r="50" spans="2:23" s="1" customFormat="1">
      <c r="B50" s="8"/>
      <c r="C50" s="91"/>
      <c r="D50" s="91"/>
      <c r="E50" s="92"/>
      <c r="F50" s="92"/>
      <c r="G50" s="97"/>
      <c r="H50" s="9"/>
      <c r="I50" s="9"/>
      <c r="J50" s="9"/>
      <c r="K50" s="9"/>
    </row>
    <row r="51" spans="2:23" s="1" customFormat="1">
      <c r="B51" s="8"/>
      <c r="C51" s="10" t="s">
        <v>122</v>
      </c>
      <c r="H51" s="9"/>
      <c r="I51" s="9"/>
      <c r="J51" s="9"/>
      <c r="K51" s="9"/>
    </row>
    <row r="52" spans="2:23" s="1" customFormat="1">
      <c r="B52" s="8"/>
      <c r="C52" s="10" t="s">
        <v>109</v>
      </c>
      <c r="H52" s="9"/>
      <c r="I52" s="9"/>
      <c r="J52" s="9"/>
      <c r="K52" s="9"/>
      <c r="M52" s="274"/>
    </row>
    <row r="53" spans="2:23" s="1" customFormat="1" ht="13.5" thickBot="1">
      <c r="B53" s="8"/>
      <c r="C53" s="10"/>
      <c r="H53" s="9"/>
      <c r="I53" s="9"/>
      <c r="J53" s="9"/>
      <c r="K53" s="9"/>
      <c r="L53" s="274"/>
      <c r="M53" s="274"/>
    </row>
    <row r="54" spans="2:23" s="1" customFormat="1" ht="12.75" customHeight="1">
      <c r="B54" s="8"/>
      <c r="C54" s="154"/>
      <c r="D54" s="155"/>
      <c r="E54" s="367" t="s">
        <v>126</v>
      </c>
      <c r="F54" s="368"/>
      <c r="G54" s="364" t="s">
        <v>75</v>
      </c>
      <c r="H54" s="369" t="s">
        <v>127</v>
      </c>
      <c r="I54" s="370"/>
      <c r="J54" s="364" t="s">
        <v>75</v>
      </c>
      <c r="K54" s="9"/>
      <c r="L54" s="274"/>
      <c r="M54" s="274"/>
    </row>
    <row r="55" spans="2:23" s="1" customFormat="1" ht="12.75" customHeight="1">
      <c r="B55" s="8"/>
      <c r="C55" s="157" t="s">
        <v>76</v>
      </c>
      <c r="D55" s="158"/>
      <c r="E55" s="95">
        <v>2018</v>
      </c>
      <c r="F55" s="96">
        <v>2019</v>
      </c>
      <c r="G55" s="365"/>
      <c r="H55" s="252">
        <v>2018</v>
      </c>
      <c r="I55" s="96">
        <v>2019</v>
      </c>
      <c r="J55" s="365"/>
      <c r="K55" s="9"/>
      <c r="L55" s="274"/>
      <c r="M55" s="274"/>
    </row>
    <row r="56" spans="2:23" s="1" customFormat="1">
      <c r="B56" s="8"/>
      <c r="C56" s="358" t="s">
        <v>69</v>
      </c>
      <c r="D56" s="359"/>
      <c r="E56" s="198">
        <f>SUM(E57:E60)</f>
        <v>4482.5209017136076</v>
      </c>
      <c r="F56" s="199">
        <f>SUM(F57:F60)</f>
        <v>4615.0217263023806</v>
      </c>
      <c r="G56" s="200">
        <f>((F56/E56)-1)</f>
        <v>2.9559443780422745E-2</v>
      </c>
      <c r="H56" s="248">
        <f>SUM(H57:H60)</f>
        <v>43338.21907543594</v>
      </c>
      <c r="I56" s="199">
        <f>SUM(I57:I60)</f>
        <v>45211.345212364467</v>
      </c>
      <c r="J56" s="200">
        <f>((I56/H56)-1)</f>
        <v>4.3221114685587425E-2</v>
      </c>
      <c r="K56" s="9"/>
    </row>
    <row r="57" spans="2:23" s="1" customFormat="1" ht="25.5">
      <c r="B57" s="8"/>
      <c r="C57" s="372" t="s">
        <v>79</v>
      </c>
      <c r="D57" s="296" t="s">
        <v>80</v>
      </c>
      <c r="E57" s="346">
        <f>SUM(E43:E44)+20.569947</f>
        <v>245.96547046666666</v>
      </c>
      <c r="F57" s="347">
        <f>SUM(F43:F44)+28.6131347030748</f>
        <v>267.82641482557483</v>
      </c>
      <c r="G57" s="176">
        <f t="shared" ref="G57:G65" si="4">((F57/E57)-1)</f>
        <v>8.8878102757398159E-2</v>
      </c>
      <c r="H57" s="348">
        <v>1981.990542766667</v>
      </c>
      <c r="I57" s="347">
        <f>SUM(I43:I44)+261.002122975575</f>
        <v>2257.7431776230746</v>
      </c>
      <c r="J57" s="352">
        <f t="shared" ref="J57:J65" si="5">((I57/H57)-1)</f>
        <v>0.13912913755455336</v>
      </c>
      <c r="K57" s="9"/>
      <c r="L57" s="274"/>
      <c r="Q57" s="151"/>
      <c r="R57" s="151"/>
      <c r="T57" s="151">
        <v>2018</v>
      </c>
      <c r="U57" s="151">
        <v>2019</v>
      </c>
      <c r="V57" s="151"/>
      <c r="W57" s="151"/>
    </row>
    <row r="58" spans="2:23" s="1" customFormat="1" ht="13.5">
      <c r="B58" s="8"/>
      <c r="C58" s="373"/>
      <c r="D58" s="297" t="s">
        <v>116</v>
      </c>
      <c r="E58" s="285">
        <v>104.82892481</v>
      </c>
      <c r="F58" s="353">
        <v>135.060429535</v>
      </c>
      <c r="G58" s="295">
        <f t="shared" si="4"/>
        <v>0.28838896115546264</v>
      </c>
      <c r="H58" s="287">
        <v>1009.1136262150001</v>
      </c>
      <c r="I58" s="286">
        <v>1423.4923259349994</v>
      </c>
      <c r="J58" s="295">
        <f t="shared" si="5"/>
        <v>0.41063631384530774</v>
      </c>
      <c r="K58" s="9"/>
      <c r="L58" s="274"/>
      <c r="M58" s="274"/>
      <c r="Q58" s="366" t="s">
        <v>81</v>
      </c>
      <c r="R58" s="151" t="s">
        <v>67</v>
      </c>
      <c r="T58" s="152">
        <f>SUM(E60,E64)</f>
        <v>2366.6221964369411</v>
      </c>
      <c r="U58" s="152">
        <f>SUM(F60,F64)</f>
        <v>2083.1143102722917</v>
      </c>
      <c r="V58" s="153">
        <f t="shared" ref="V58:W61" si="6">T58/T$64</f>
        <v>0.50357097477334645</v>
      </c>
      <c r="W58" s="153">
        <f t="shared" si="6"/>
        <v>0.43108012706207488</v>
      </c>
    </row>
    <row r="59" spans="2:23" s="1" customFormat="1">
      <c r="B59" s="8"/>
      <c r="C59" s="371" t="s">
        <v>81</v>
      </c>
      <c r="D59" s="298" t="s">
        <v>82</v>
      </c>
      <c r="E59" s="163">
        <f>SUM(E42:E44)-E57</f>
        <v>1818.5244609999993</v>
      </c>
      <c r="F59" s="164">
        <f>SUM(F42:F44)-F57</f>
        <v>2179.9066227459166</v>
      </c>
      <c r="G59" s="294">
        <f t="shared" si="4"/>
        <v>0.19872273895463288</v>
      </c>
      <c r="H59" s="249">
        <f>SUM(H42:H44)-H57</f>
        <v>16490.441912000002</v>
      </c>
      <c r="I59" s="164">
        <f>SUM(I42:I44)-I57</f>
        <v>17950.502769303421</v>
      </c>
      <c r="J59" s="294">
        <f t="shared" si="5"/>
        <v>8.8539825984950804E-2</v>
      </c>
      <c r="K59" s="9"/>
      <c r="Q59" s="366"/>
      <c r="R59" s="151" t="s">
        <v>66</v>
      </c>
      <c r="T59" s="152">
        <f>SUM(E59,E63)</f>
        <v>1965.3117741509177</v>
      </c>
      <c r="U59" s="152">
        <f>SUM(F59,F63)</f>
        <v>2322.3915351652327</v>
      </c>
      <c r="V59" s="153">
        <f t="shared" si="6"/>
        <v>0.41817995594426199</v>
      </c>
      <c r="W59" s="153">
        <f t="shared" si="6"/>
        <v>0.4805962078653539</v>
      </c>
    </row>
    <row r="60" spans="2:23" s="1" customFormat="1">
      <c r="B60" s="8"/>
      <c r="C60" s="371"/>
      <c r="D60" s="299" t="s">
        <v>41</v>
      </c>
      <c r="E60" s="163">
        <f>E41-E58</f>
        <v>2313.2020454369413</v>
      </c>
      <c r="F60" s="164">
        <f>F41-F58</f>
        <v>2032.2282591958892</v>
      </c>
      <c r="G60" s="165">
        <f t="shared" si="4"/>
        <v>-0.12146530252093857</v>
      </c>
      <c r="H60" s="249">
        <f>H41-H58</f>
        <v>23856.672994454271</v>
      </c>
      <c r="I60" s="164">
        <f>I41-I58</f>
        <v>23579.606939502974</v>
      </c>
      <c r="J60" s="294">
        <f t="shared" si="5"/>
        <v>-1.1613775945023996E-2</v>
      </c>
      <c r="K60" s="9"/>
      <c r="Q60" s="366" t="s">
        <v>79</v>
      </c>
      <c r="R60" s="151" t="s">
        <v>67</v>
      </c>
      <c r="T60" s="152">
        <f>E58</f>
        <v>104.82892481</v>
      </c>
      <c r="U60" s="152">
        <f>F58</f>
        <v>135.060429535</v>
      </c>
      <c r="V60" s="153">
        <f t="shared" si="6"/>
        <v>2.230554751429676E-2</v>
      </c>
      <c r="W60" s="153">
        <f t="shared" si="6"/>
        <v>2.794943457394607E-2</v>
      </c>
    </row>
    <row r="61" spans="2:23" s="1" customFormat="1">
      <c r="B61" s="8"/>
      <c r="C61" s="358" t="s">
        <v>65</v>
      </c>
      <c r="D61" s="359"/>
      <c r="E61" s="198">
        <f>SUM(E62:E64)</f>
        <v>217.1586171509183</v>
      </c>
      <c r="F61" s="199">
        <f>SUM(F62:F64)</f>
        <v>217.2917567367623</v>
      </c>
      <c r="G61" s="200">
        <f t="shared" si="4"/>
        <v>6.1309833149048032E-4</v>
      </c>
      <c r="H61" s="248">
        <f>SUM(H62:H64)</f>
        <v>2073.5100179017054</v>
      </c>
      <c r="I61" s="199">
        <f>SUM(I62:I64)</f>
        <v>2054.7192654125647</v>
      </c>
      <c r="J61" s="200">
        <f t="shared" si="5"/>
        <v>-9.0622916344316184E-3</v>
      </c>
      <c r="K61" s="9"/>
      <c r="Q61" s="366"/>
      <c r="R61" s="151" t="s">
        <v>91</v>
      </c>
      <c r="T61" s="152">
        <f>E57+E62</f>
        <v>262.91662346666664</v>
      </c>
      <c r="U61" s="152">
        <f>F57+F62</f>
        <v>291.74720806661867</v>
      </c>
      <c r="V61" s="153">
        <f t="shared" si="6"/>
        <v>5.5943521768094751E-2</v>
      </c>
      <c r="W61" s="153">
        <f t="shared" si="6"/>
        <v>6.0374230498625003E-2</v>
      </c>
    </row>
    <row r="62" spans="2:23" s="1" customFormat="1">
      <c r="B62" s="8"/>
      <c r="C62" s="331" t="s">
        <v>79</v>
      </c>
      <c r="D62" s="332" t="s">
        <v>123</v>
      </c>
      <c r="E62" s="349">
        <v>16.951153000000001</v>
      </c>
      <c r="F62" s="350">
        <v>23.920793241043821</v>
      </c>
      <c r="G62" s="333">
        <f t="shared" si="4"/>
        <v>0.41116024621120584</v>
      </c>
      <c r="H62" s="351">
        <v>151.32402699999997</v>
      </c>
      <c r="I62" s="350">
        <v>184.0434227122438</v>
      </c>
      <c r="J62" s="333">
        <f t="shared" si="5"/>
        <v>0.21622075727765178</v>
      </c>
      <c r="K62" s="9"/>
      <c r="Q62" s="151"/>
      <c r="R62" s="151"/>
      <c r="T62" s="151"/>
      <c r="U62" s="151"/>
      <c r="V62" s="151"/>
      <c r="W62" s="151"/>
    </row>
    <row r="63" spans="2:23" s="1" customFormat="1">
      <c r="B63" s="8"/>
      <c r="C63" s="374" t="s">
        <v>81</v>
      </c>
      <c r="D63" s="298" t="s">
        <v>82</v>
      </c>
      <c r="E63" s="163">
        <f>E47-E62</f>
        <v>146.78731315091829</v>
      </c>
      <c r="F63" s="164">
        <f>F47-F62</f>
        <v>142.4849124193162</v>
      </c>
      <c r="G63" s="294">
        <f t="shared" ref="G63" si="7">((F63/E63)-1)</f>
        <v>-2.9310439977728975E-2</v>
      </c>
      <c r="H63" s="249">
        <f>H47-H62</f>
        <v>1302.3350976737979</v>
      </c>
      <c r="I63" s="164">
        <f>I47-I62</f>
        <v>1290.7199871930698</v>
      </c>
      <c r="J63" s="294">
        <f t="shared" ref="J63" si="8">((I63/H63)-1)</f>
        <v>-8.9186803776346579E-3</v>
      </c>
      <c r="K63" s="9"/>
      <c r="Q63" s="151"/>
      <c r="R63" s="151"/>
      <c r="T63" s="151"/>
      <c r="U63" s="151"/>
      <c r="V63" s="151"/>
      <c r="W63" s="151"/>
    </row>
    <row r="64" spans="2:23" s="1" customFormat="1" ht="13.5" thickBot="1">
      <c r="B64" s="8"/>
      <c r="C64" s="375"/>
      <c r="D64" s="300" t="s">
        <v>41</v>
      </c>
      <c r="E64" s="167">
        <f>E46</f>
        <v>53.420151000000004</v>
      </c>
      <c r="F64" s="168">
        <f>F46</f>
        <v>50.886051076402282</v>
      </c>
      <c r="G64" s="169">
        <f t="shared" si="4"/>
        <v>-4.7437153885950711E-2</v>
      </c>
      <c r="H64" s="250">
        <f>H46</f>
        <v>619.85089322790782</v>
      </c>
      <c r="I64" s="168">
        <f>I46</f>
        <v>579.95585550725116</v>
      </c>
      <c r="J64" s="169">
        <f t="shared" si="5"/>
        <v>-6.4362313834704699E-2</v>
      </c>
      <c r="K64" s="9"/>
      <c r="Q64" s="151"/>
      <c r="R64" s="151"/>
      <c r="T64" s="152">
        <f>SUM(T58:T61)</f>
        <v>4699.6795188645256</v>
      </c>
      <c r="U64" s="152">
        <f>SUM(U58:U61)</f>
        <v>4832.3134830391436</v>
      </c>
      <c r="V64" s="151"/>
      <c r="W64" s="151"/>
    </row>
    <row r="65" spans="2:22" s="1" customFormat="1" ht="14.25" thickTop="1" thickBot="1">
      <c r="B65" s="8"/>
      <c r="C65" s="360" t="s">
        <v>114</v>
      </c>
      <c r="D65" s="361"/>
      <c r="E65" s="201">
        <f>SUM(E56,E61)</f>
        <v>4699.6795188645256</v>
      </c>
      <c r="F65" s="202">
        <f>SUM(F56,F61)</f>
        <v>4832.3134830391427</v>
      </c>
      <c r="G65" s="203">
        <f t="shared" si="4"/>
        <v>2.8221916758839338E-2</v>
      </c>
      <c r="H65" s="251">
        <f>SUM(H56,H61)</f>
        <v>45411.729093337643</v>
      </c>
      <c r="I65" s="202">
        <f>SUM(I56,I61)</f>
        <v>47266.064477777036</v>
      </c>
      <c r="J65" s="203">
        <f t="shared" si="5"/>
        <v>4.0833842301579271E-2</v>
      </c>
      <c r="K65" s="9"/>
      <c r="Q65" s="151"/>
      <c r="R65" s="151"/>
      <c r="S65" s="151"/>
      <c r="T65" s="151"/>
      <c r="U65" s="151"/>
      <c r="V65" s="151"/>
    </row>
    <row r="66" spans="2:22" s="1" customFormat="1">
      <c r="B66" s="8"/>
      <c r="C66" s="280" t="s">
        <v>117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1"/>
      <c r="D83" s="91"/>
      <c r="E83" s="92"/>
      <c r="F83" s="92"/>
      <c r="G83" s="97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43" zoomScaleNormal="100" zoomScaleSheetLayoutView="100" workbookViewId="0">
      <selection activeCell="C26" sqref="C26:I35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6.85546875" style="20" customWidth="1"/>
    <col min="11" max="11" width="6.85546875" style="55" customWidth="1"/>
    <col min="12" max="12" width="27.5703125" style="55" customWidth="1"/>
    <col min="13" max="13" width="21.85546875" style="56" customWidth="1"/>
    <col min="14" max="21" width="11.42578125" style="56"/>
    <col min="22" max="25" width="11.42578125" style="58"/>
    <col min="26" max="28" width="11.42578125" style="19"/>
  </cols>
  <sheetData>
    <row r="1" spans="2:28">
      <c r="N1" s="57">
        <v>3066.3426032056236</v>
      </c>
      <c r="O1" s="57"/>
      <c r="P1" s="57"/>
      <c r="Q1" s="57"/>
      <c r="R1" s="57"/>
      <c r="S1" s="57"/>
      <c r="T1" s="57"/>
      <c r="U1" s="57"/>
    </row>
    <row r="2" spans="2:28" ht="15">
      <c r="B2" s="21" t="s">
        <v>84</v>
      </c>
      <c r="D2" s="3"/>
      <c r="E2" s="21"/>
      <c r="F2" s="21"/>
      <c r="G2" s="21"/>
      <c r="H2" s="21"/>
      <c r="I2" s="21"/>
      <c r="J2" s="21"/>
      <c r="K2" s="59"/>
      <c r="L2" s="60"/>
      <c r="M2" s="61"/>
      <c r="N2" s="62">
        <v>1230.4754866556138</v>
      </c>
      <c r="O2" s="62"/>
      <c r="P2" s="62"/>
      <c r="Q2" s="62"/>
      <c r="R2" s="57"/>
      <c r="S2" s="57"/>
      <c r="T2" s="57"/>
      <c r="U2" s="57"/>
      <c r="V2" s="55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3"/>
      <c r="L3" s="64"/>
      <c r="M3" s="65"/>
      <c r="N3" s="62">
        <v>117.97097317393826</v>
      </c>
      <c r="O3" s="62"/>
      <c r="P3" s="62"/>
      <c r="Q3" s="62"/>
      <c r="R3" s="57"/>
      <c r="S3" s="57"/>
      <c r="T3" s="57"/>
      <c r="U3" s="57"/>
      <c r="V3" s="55"/>
    </row>
    <row r="4" spans="2:28" ht="15">
      <c r="B4" s="23" t="s">
        <v>88</v>
      </c>
      <c r="D4" s="3"/>
      <c r="E4" s="23"/>
      <c r="F4" s="23"/>
      <c r="G4" s="23"/>
      <c r="H4" s="23"/>
      <c r="I4" s="23"/>
      <c r="J4" s="23"/>
      <c r="K4" s="66"/>
      <c r="L4" s="67"/>
      <c r="M4" s="68"/>
      <c r="N4" s="62">
        <v>0.26741999999999999</v>
      </c>
      <c r="O4" s="62"/>
      <c r="P4" s="62"/>
      <c r="Q4" s="62"/>
      <c r="R4" s="57"/>
      <c r="S4" s="57"/>
      <c r="T4" s="57"/>
      <c r="U4" s="57"/>
      <c r="V4" s="55"/>
    </row>
    <row r="5" spans="2:28">
      <c r="N5" s="57">
        <v>87.475207379999986</v>
      </c>
      <c r="O5" s="57"/>
      <c r="P5" s="57"/>
      <c r="Q5" s="57"/>
      <c r="R5" s="57"/>
      <c r="S5" s="57"/>
      <c r="T5" s="57"/>
      <c r="U5" s="57"/>
    </row>
    <row r="6" spans="2:28">
      <c r="C6" s="10"/>
      <c r="N6" s="57">
        <v>59.658878850000001</v>
      </c>
      <c r="O6" s="57"/>
      <c r="P6" s="57"/>
      <c r="Q6" s="57"/>
      <c r="R6" s="57"/>
      <c r="S6" s="57"/>
      <c r="T6" s="57"/>
      <c r="U6" s="57"/>
    </row>
    <row r="7" spans="2:28">
      <c r="C7" s="10"/>
      <c r="N7" s="57">
        <v>34.086593865910203</v>
      </c>
      <c r="O7" s="57"/>
      <c r="P7" s="57"/>
      <c r="Q7" s="57"/>
      <c r="R7" s="57"/>
      <c r="S7" s="57"/>
      <c r="T7" s="57"/>
      <c r="U7" s="57"/>
    </row>
    <row r="8" spans="2:28" ht="19.5" customHeight="1">
      <c r="B8" s="20"/>
      <c r="C8" s="25"/>
      <c r="D8" s="40"/>
      <c r="E8" s="41"/>
      <c r="M8" s="69" t="s">
        <v>1</v>
      </c>
      <c r="N8" s="70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2"/>
      <c r="D9" s="43"/>
      <c r="E9" s="43"/>
      <c r="M9" s="56" t="s">
        <v>86</v>
      </c>
      <c r="N9" s="71">
        <f>E28</f>
        <v>2218.1747398072912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2"/>
      <c r="D10" s="43"/>
      <c r="E10" s="43"/>
      <c r="M10" s="56" t="s">
        <v>2</v>
      </c>
      <c r="N10" s="71">
        <f t="shared" ref="N10:N15" si="0">E29</f>
        <v>2225.464448933461</v>
      </c>
      <c r="O10" s="71"/>
      <c r="P10" s="71"/>
      <c r="Q10" s="71"/>
      <c r="R10" s="71"/>
      <c r="S10" s="71"/>
      <c r="T10" s="72"/>
      <c r="U10" s="72"/>
      <c r="V10" s="72"/>
      <c r="W10" s="72"/>
      <c r="X10" s="72"/>
      <c r="Y10" s="72"/>
      <c r="Z10" s="20"/>
      <c r="AA10" s="20"/>
      <c r="AB10" s="20"/>
    </row>
    <row r="11" spans="2:28">
      <c r="B11" s="20"/>
      <c r="C11" s="42"/>
      <c r="D11" s="43"/>
      <c r="E11" s="43"/>
      <c r="M11" s="56" t="s">
        <v>85</v>
      </c>
      <c r="N11" s="71">
        <f t="shared" si="0"/>
        <v>96.756596186279239</v>
      </c>
      <c r="O11" s="71"/>
      <c r="P11" s="71"/>
      <c r="Q11" s="71"/>
      <c r="R11" s="71"/>
      <c r="S11" s="71"/>
      <c r="T11" s="72"/>
      <c r="U11" s="72"/>
      <c r="V11" s="72"/>
      <c r="W11" s="72"/>
      <c r="X11" s="72"/>
      <c r="Y11" s="72"/>
      <c r="Z11" s="20"/>
      <c r="AA11" s="20"/>
      <c r="AB11" s="20"/>
    </row>
    <row r="12" spans="2:28">
      <c r="B12" s="20"/>
      <c r="C12" s="42"/>
      <c r="D12" s="43"/>
      <c r="E12" s="43"/>
      <c r="J12" s="24"/>
      <c r="K12" s="58"/>
      <c r="M12" s="56" t="s">
        <v>6</v>
      </c>
      <c r="N12" s="71">
        <f t="shared" si="0"/>
        <v>52.533927944118659</v>
      </c>
      <c r="O12" s="71"/>
      <c r="P12" s="71"/>
      <c r="Q12" s="71"/>
      <c r="R12" s="71"/>
      <c r="S12" s="71"/>
      <c r="T12" s="72"/>
      <c r="U12" s="72"/>
      <c r="V12" s="72"/>
      <c r="W12" s="72"/>
      <c r="X12" s="72"/>
      <c r="Y12" s="72"/>
      <c r="Z12" s="20"/>
      <c r="AA12" s="20"/>
      <c r="AB12" s="20"/>
    </row>
    <row r="13" spans="2:28">
      <c r="B13" s="20"/>
      <c r="C13" s="42"/>
      <c r="D13" s="43"/>
      <c r="E13" s="43"/>
      <c r="M13" s="56" t="s">
        <v>14</v>
      </c>
      <c r="N13" s="71">
        <f t="shared" si="0"/>
        <v>162.14314952000001</v>
      </c>
      <c r="O13" s="71"/>
      <c r="P13" s="71"/>
      <c r="Q13" s="71"/>
      <c r="R13" s="71"/>
      <c r="S13" s="71"/>
      <c r="T13" s="72"/>
      <c r="U13" s="72"/>
      <c r="V13" s="72"/>
      <c r="W13" s="72"/>
      <c r="X13" s="72"/>
      <c r="Y13" s="72"/>
      <c r="Z13" s="20"/>
      <c r="AA13" s="20"/>
      <c r="AB13" s="20"/>
    </row>
    <row r="14" spans="2:28">
      <c r="B14" s="20"/>
      <c r="C14" s="42"/>
      <c r="D14" s="43"/>
      <c r="E14" s="43"/>
      <c r="M14" s="56" t="s">
        <v>5</v>
      </c>
      <c r="N14" s="71">
        <f t="shared" si="0"/>
        <v>77.070130602500001</v>
      </c>
      <c r="O14" s="71"/>
      <c r="P14" s="71"/>
      <c r="Q14" s="71"/>
      <c r="R14" s="71"/>
      <c r="S14" s="71"/>
      <c r="T14" s="72"/>
      <c r="U14" s="72"/>
      <c r="V14" s="72"/>
      <c r="W14" s="72"/>
      <c r="X14" s="72"/>
      <c r="Y14" s="72"/>
      <c r="Z14" s="20"/>
      <c r="AA14" s="20"/>
      <c r="AB14" s="20"/>
    </row>
    <row r="15" spans="2:28">
      <c r="B15" s="20"/>
      <c r="C15" s="42"/>
      <c r="D15" s="43"/>
      <c r="E15" s="43"/>
      <c r="M15" s="56" t="s">
        <v>4</v>
      </c>
      <c r="N15" s="301">
        <f t="shared" si="0"/>
        <v>0.34049004549250433</v>
      </c>
      <c r="O15" s="71"/>
      <c r="P15" s="71"/>
      <c r="Q15" s="71"/>
      <c r="R15" s="71"/>
      <c r="S15" s="71"/>
      <c r="T15" s="72"/>
      <c r="U15" s="72"/>
      <c r="V15" s="72"/>
      <c r="W15" s="72"/>
      <c r="X15" s="72"/>
      <c r="Y15" s="72"/>
      <c r="Z15" s="20"/>
      <c r="AA15" s="20"/>
      <c r="AB15" s="20"/>
    </row>
    <row r="16" spans="2:28">
      <c r="C16" s="25"/>
      <c r="D16" s="39"/>
      <c r="E16" s="39"/>
      <c r="M16" s="69" t="s">
        <v>7</v>
      </c>
      <c r="N16" s="73">
        <f>SUBTOTAL(109,N9:N15)</f>
        <v>4832.4834830391428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2:28">
      <c r="C17" s="25"/>
      <c r="D17" s="26"/>
      <c r="E17" s="26"/>
      <c r="F17" s="26"/>
      <c r="G17" s="26"/>
      <c r="H17" s="26"/>
      <c r="I17" s="26"/>
      <c r="N17" s="71"/>
      <c r="O17" s="71"/>
      <c r="P17" s="71"/>
      <c r="Q17" s="71"/>
      <c r="R17" s="71"/>
      <c r="S17" s="71"/>
      <c r="T17" s="72"/>
      <c r="U17" s="72"/>
      <c r="V17" s="72"/>
      <c r="W17" s="72"/>
      <c r="X17" s="83"/>
      <c r="Y17" s="83"/>
    </row>
    <row r="18" spans="2:28">
      <c r="C18" s="25"/>
      <c r="D18" s="26"/>
      <c r="E18" s="26"/>
      <c r="F18" s="26"/>
      <c r="G18" s="26"/>
      <c r="H18" s="26"/>
      <c r="I18" s="26"/>
      <c r="N18" s="84"/>
      <c r="O18" s="84"/>
      <c r="P18" s="71"/>
      <c r="Q18" s="71"/>
      <c r="R18" s="71"/>
      <c r="S18" s="71"/>
      <c r="T18" s="72"/>
      <c r="U18" s="72"/>
      <c r="V18" s="72"/>
      <c r="W18" s="72"/>
      <c r="X18" s="83"/>
      <c r="Y18" s="83"/>
    </row>
    <row r="19" spans="2:28">
      <c r="B19" s="88"/>
      <c r="C19" s="89"/>
      <c r="D19" s="90"/>
      <c r="E19" s="90"/>
      <c r="F19" s="90"/>
      <c r="G19" s="90"/>
      <c r="H19" s="90"/>
      <c r="I19" s="90"/>
      <c r="J19" s="88"/>
      <c r="N19" s="71"/>
      <c r="O19" s="71"/>
      <c r="P19" s="71"/>
      <c r="Q19" s="71"/>
      <c r="R19" s="71"/>
      <c r="S19" s="71"/>
      <c r="T19" s="72"/>
      <c r="U19" s="72"/>
      <c r="V19" s="72"/>
      <c r="W19" s="72"/>
      <c r="X19" s="83"/>
      <c r="Y19" s="83"/>
    </row>
    <row r="20" spans="2:28">
      <c r="B20" s="88"/>
      <c r="C20" s="89"/>
      <c r="D20" s="90"/>
      <c r="E20" s="90"/>
      <c r="F20" s="90"/>
      <c r="G20" s="90"/>
      <c r="H20" s="90"/>
      <c r="I20" s="90"/>
      <c r="J20" s="88"/>
      <c r="N20" s="71"/>
      <c r="O20" s="71"/>
      <c r="P20" s="71"/>
      <c r="Q20" s="71"/>
      <c r="R20" s="71"/>
      <c r="S20" s="71"/>
      <c r="T20" s="72"/>
      <c r="U20" s="72"/>
      <c r="V20" s="72"/>
      <c r="W20" s="72"/>
      <c r="X20" s="83"/>
      <c r="Y20" s="83"/>
    </row>
    <row r="21" spans="2:28">
      <c r="B21" s="88"/>
      <c r="C21" s="89"/>
      <c r="D21" s="90"/>
      <c r="E21" s="90"/>
      <c r="F21" s="90"/>
      <c r="G21" s="90"/>
      <c r="H21" s="90"/>
      <c r="I21" s="90"/>
      <c r="J21" s="88"/>
      <c r="N21" s="71"/>
      <c r="O21" s="71"/>
      <c r="P21" s="71"/>
      <c r="Q21" s="71"/>
      <c r="R21" s="71"/>
      <c r="S21" s="71"/>
      <c r="T21" s="72"/>
      <c r="U21" s="72"/>
      <c r="V21" s="72"/>
      <c r="W21" s="72"/>
      <c r="X21" s="83"/>
      <c r="Y21" s="83"/>
    </row>
    <row r="22" spans="2:28">
      <c r="C22" s="25"/>
      <c r="D22" s="26"/>
      <c r="E22" s="26"/>
      <c r="F22" s="26"/>
      <c r="G22" s="26"/>
      <c r="H22" s="26"/>
      <c r="I22" s="26"/>
      <c r="N22" s="71"/>
      <c r="O22" s="71"/>
      <c r="P22" s="71"/>
      <c r="Q22" s="71"/>
      <c r="R22" s="71"/>
      <c r="S22" s="71"/>
      <c r="T22" s="72"/>
      <c r="U22" s="72"/>
      <c r="V22" s="72"/>
      <c r="W22" s="72"/>
      <c r="X22" s="83"/>
      <c r="Y22" s="83"/>
    </row>
    <row r="23" spans="2:28" s="1" customFormat="1">
      <c r="B23" s="19"/>
      <c r="C23" s="25"/>
      <c r="D23" s="26"/>
      <c r="E23" s="26"/>
      <c r="F23" s="339"/>
      <c r="G23" s="279"/>
      <c r="H23" s="26"/>
      <c r="I23" s="26"/>
      <c r="J23" s="20"/>
      <c r="K23" s="55"/>
      <c r="L23" s="55"/>
      <c r="M23" s="56"/>
      <c r="N23" s="71"/>
      <c r="O23" s="71"/>
      <c r="P23" s="71"/>
      <c r="Q23" s="71"/>
      <c r="R23" s="71"/>
      <c r="S23" s="71"/>
      <c r="T23" s="72"/>
      <c r="U23" s="72"/>
      <c r="V23" s="72"/>
      <c r="W23" s="72"/>
      <c r="X23" s="83"/>
      <c r="Y23" s="83"/>
      <c r="Z23" s="19"/>
      <c r="AA23" s="19"/>
      <c r="AB23" s="19"/>
    </row>
    <row r="24" spans="2:28" s="1" customFormat="1">
      <c r="C24" s="10" t="s">
        <v>87</v>
      </c>
      <c r="D24" s="9"/>
      <c r="E24" s="13"/>
      <c r="F24" s="13"/>
      <c r="G24" s="13"/>
      <c r="H24" s="26"/>
      <c r="I24" s="26"/>
      <c r="J24" s="320"/>
      <c r="K24" s="55"/>
      <c r="L24" s="55"/>
      <c r="M24" s="56"/>
      <c r="N24" s="71"/>
      <c r="O24" s="71"/>
      <c r="P24" s="71"/>
      <c r="Q24" s="71"/>
      <c r="R24" s="71"/>
      <c r="S24" s="71"/>
      <c r="T24" s="72"/>
      <c r="U24" s="72"/>
      <c r="V24" s="72"/>
      <c r="W24" s="72"/>
      <c r="X24" s="83"/>
      <c r="Y24" s="83"/>
      <c r="Z24" s="19"/>
      <c r="AA24" s="19"/>
      <c r="AB24" s="19"/>
    </row>
    <row r="25" spans="2:28" s="1" customFormat="1" ht="13.5" thickBot="1">
      <c r="B25" s="10"/>
      <c r="C25" s="134"/>
      <c r="D25" s="134"/>
      <c r="E25" s="172"/>
      <c r="F25" s="172"/>
      <c r="G25" s="13"/>
      <c r="H25" s="26"/>
      <c r="I25" s="26"/>
      <c r="J25" s="20"/>
      <c r="K25" s="55"/>
      <c r="L25" s="55"/>
      <c r="M25" s="56"/>
      <c r="N25" s="71"/>
      <c r="O25" s="71"/>
      <c r="P25" s="71"/>
      <c r="Q25" s="71"/>
      <c r="R25" s="71"/>
      <c r="S25" s="71"/>
      <c r="T25" s="72"/>
      <c r="U25" s="72"/>
      <c r="V25" s="72"/>
      <c r="W25" s="72"/>
      <c r="X25" s="83"/>
      <c r="Y25" s="83"/>
      <c r="Z25" s="19"/>
      <c r="AA25" s="19"/>
      <c r="AB25" s="19"/>
    </row>
    <row r="26" spans="2:28" s="1" customFormat="1" ht="16.5" customHeight="1">
      <c r="B26" s="19"/>
      <c r="C26" s="321" t="s">
        <v>62</v>
      </c>
      <c r="D26" s="378" t="s">
        <v>126</v>
      </c>
      <c r="E26" s="378"/>
      <c r="F26" s="379" t="s">
        <v>75</v>
      </c>
      <c r="G26" s="381" t="s">
        <v>127</v>
      </c>
      <c r="H26" s="382"/>
      <c r="I26" s="379" t="s">
        <v>75</v>
      </c>
      <c r="J26" s="20"/>
      <c r="K26" s="55"/>
      <c r="L26" s="55"/>
      <c r="M26" s="56"/>
      <c r="N26" s="71">
        <v>2018</v>
      </c>
      <c r="O26" s="71">
        <v>2019</v>
      </c>
      <c r="P26" s="71"/>
      <c r="Q26" s="71"/>
      <c r="R26" s="71"/>
      <c r="S26" s="71"/>
      <c r="T26" s="72"/>
      <c r="U26" s="72"/>
      <c r="V26" s="72"/>
      <c r="W26" s="72"/>
      <c r="X26" s="83"/>
      <c r="Y26" s="83"/>
      <c r="Z26" s="19"/>
      <c r="AA26" s="19"/>
      <c r="AB26" s="19"/>
    </row>
    <row r="27" spans="2:28" s="1" customFormat="1" ht="12" customHeight="1">
      <c r="B27" s="19"/>
      <c r="C27" s="322"/>
      <c r="D27" s="98">
        <v>2018</v>
      </c>
      <c r="E27" s="99">
        <v>2019</v>
      </c>
      <c r="F27" s="380"/>
      <c r="G27" s="253">
        <v>2018</v>
      </c>
      <c r="H27" s="99">
        <v>2019</v>
      </c>
      <c r="I27" s="380"/>
      <c r="J27" s="20"/>
      <c r="K27" s="55"/>
      <c r="L27" s="55"/>
      <c r="M27" s="56" t="s">
        <v>86</v>
      </c>
      <c r="N27" s="71">
        <f t="shared" ref="N27:O29" si="1">D28</f>
        <v>2471.4511212469411</v>
      </c>
      <c r="O27" s="71">
        <f t="shared" si="1"/>
        <v>2218.1747398072912</v>
      </c>
      <c r="P27" s="71"/>
      <c r="Q27" s="71"/>
      <c r="R27" s="71"/>
      <c r="S27" s="71"/>
      <c r="T27" s="72"/>
      <c r="U27" s="72"/>
      <c r="V27" s="72"/>
      <c r="W27" s="72"/>
      <c r="X27" s="83"/>
      <c r="Y27" s="83"/>
      <c r="Z27" s="19"/>
      <c r="AA27" s="19"/>
      <c r="AB27" s="19"/>
    </row>
    <row r="28" spans="2:28" s="1" customFormat="1">
      <c r="C28" s="173" t="s">
        <v>86</v>
      </c>
      <c r="D28" s="174">
        <f>Resumen!E41+Resumen!E46</f>
        <v>2471.4511212469411</v>
      </c>
      <c r="E28" s="175">
        <f>Resumen!F41+Resumen!F46</f>
        <v>2218.1747398072912</v>
      </c>
      <c r="F28" s="176">
        <f>+E28/D28-1</f>
        <v>-0.1024808377807862</v>
      </c>
      <c r="G28" s="267">
        <f>Resumen!H41+Resumen!H46</f>
        <v>25485.637513897178</v>
      </c>
      <c r="H28" s="175">
        <f>Resumen!I41+Resumen!I46</f>
        <v>25583.055120945224</v>
      </c>
      <c r="I28" s="352">
        <f>+H28/G28-1</f>
        <v>3.8224512529820842E-3</v>
      </c>
      <c r="J28" s="320"/>
      <c r="K28" s="55"/>
      <c r="L28" s="55"/>
      <c r="M28" s="56" t="s">
        <v>2</v>
      </c>
      <c r="N28" s="71">
        <f t="shared" si="1"/>
        <v>1779.8370809999997</v>
      </c>
      <c r="O28" s="71">
        <f t="shared" si="1"/>
        <v>2225.464448933461</v>
      </c>
      <c r="P28" s="71"/>
      <c r="Q28" s="71"/>
      <c r="R28" s="71"/>
      <c r="S28" s="71"/>
      <c r="T28" s="72"/>
      <c r="U28" s="72"/>
      <c r="V28" s="72"/>
      <c r="W28" s="72"/>
      <c r="X28" s="83"/>
      <c r="Y28" s="83"/>
      <c r="Z28" s="19"/>
      <c r="AA28" s="19"/>
      <c r="AB28" s="19"/>
    </row>
    <row r="29" spans="2:28" s="1" customFormat="1">
      <c r="C29" s="177" t="s">
        <v>2</v>
      </c>
      <c r="D29" s="178">
        <v>1779.8370809999997</v>
      </c>
      <c r="E29" s="179">
        <v>2225.464448933461</v>
      </c>
      <c r="F29" s="180">
        <f t="shared" ref="F29:F35" si="2">+E29/D29-1</f>
        <v>0.25037537013392597</v>
      </c>
      <c r="G29" s="268">
        <v>15900.177011000002</v>
      </c>
      <c r="H29" s="179">
        <v>17991.26217857096</v>
      </c>
      <c r="I29" s="180">
        <f t="shared" ref="I29:I35" si="3">+H29/G29-1</f>
        <v>0.13151332630600976</v>
      </c>
      <c r="J29" s="277"/>
      <c r="K29" s="278"/>
      <c r="L29" s="55"/>
      <c r="M29" s="56" t="s">
        <v>85</v>
      </c>
      <c r="N29" s="71">
        <f t="shared" si="1"/>
        <v>185.05444315092154</v>
      </c>
      <c r="O29" s="71">
        <f t="shared" si="1"/>
        <v>96.756596186279239</v>
      </c>
      <c r="P29" s="71"/>
      <c r="Q29" s="71"/>
      <c r="R29" s="71"/>
      <c r="S29" s="71"/>
      <c r="T29" s="72"/>
      <c r="U29" s="72"/>
      <c r="V29" s="72"/>
      <c r="W29" s="72"/>
      <c r="X29" s="83"/>
      <c r="Y29" s="83"/>
      <c r="Z29" s="19"/>
      <c r="AA29" s="19"/>
      <c r="AB29" s="19"/>
    </row>
    <row r="30" spans="2:28" s="1" customFormat="1">
      <c r="C30" s="177" t="s">
        <v>3</v>
      </c>
      <c r="D30" s="178">
        <f>Resumen!E32-SUM(TipoRecurso!D28:D29,TipoRecurso!D31:D34)</f>
        <v>185.05444315092154</v>
      </c>
      <c r="E30" s="179">
        <f>Resumen!F32-SUM(TipoRecurso!E28:E29,TipoRecurso!E31:E34)</f>
        <v>96.756596186279239</v>
      </c>
      <c r="F30" s="180">
        <f t="shared" si="2"/>
        <v>-0.47714524148242587</v>
      </c>
      <c r="G30" s="268">
        <f>Resumen!H32-SUM(TipoRecurso!G28:G29,TipoRecurso!G31:G34)</f>
        <v>1889.1883686738001</v>
      </c>
      <c r="H30" s="179">
        <f>Resumen!I32-SUM(TipoRecurso!H28:H29,TipoRecurso!H31:H34)</f>
        <v>1246.2458024360312</v>
      </c>
      <c r="I30" s="180">
        <f t="shared" si="3"/>
        <v>-0.34032740032647513</v>
      </c>
      <c r="J30" s="320"/>
      <c r="K30" s="55"/>
      <c r="L30" s="55"/>
      <c r="M30" s="56" t="s">
        <v>4</v>
      </c>
      <c r="N30" s="102">
        <f>D34</f>
        <v>0.42025000000000001</v>
      </c>
      <c r="O30" s="102">
        <f>E34</f>
        <v>0.34049004549250433</v>
      </c>
      <c r="P30" s="71"/>
      <c r="Q30" s="71"/>
      <c r="R30" s="71"/>
      <c r="S30" s="71"/>
      <c r="T30" s="72"/>
      <c r="U30" s="72"/>
      <c r="V30" s="72"/>
      <c r="W30" s="72"/>
      <c r="X30" s="83"/>
      <c r="Y30" s="83"/>
      <c r="Z30" s="19"/>
      <c r="AA30" s="19"/>
      <c r="AB30" s="19"/>
    </row>
    <row r="31" spans="2:28" s="1" customFormat="1">
      <c r="C31" s="177" t="s">
        <v>6</v>
      </c>
      <c r="D31" s="178">
        <f>Resumen!E57+Resumen!E62-SUM(TipoRecurso!D32:D33)</f>
        <v>37.521099999999961</v>
      </c>
      <c r="E31" s="179">
        <f>Resumen!F57+Resumen!F62-SUM(TipoRecurso!E32:E33)</f>
        <v>52.533927944118659</v>
      </c>
      <c r="F31" s="180">
        <f t="shared" si="2"/>
        <v>0.40011694604152637</v>
      </c>
      <c r="G31" s="268">
        <f>Resumen!H57+Resumen!H62-SUM(TipoRecurso!G32:G33)</f>
        <v>319.59031295</v>
      </c>
      <c r="H31" s="179">
        <f>Resumen!I57+Resumen!I62-SUM(TipoRecurso!H32:H33)</f>
        <v>445.0455456878185</v>
      </c>
      <c r="I31" s="180">
        <f t="shared" si="3"/>
        <v>0.39255017331343844</v>
      </c>
      <c r="J31" s="20"/>
      <c r="K31" s="55"/>
      <c r="L31" s="55"/>
      <c r="M31" s="56" t="s">
        <v>92</v>
      </c>
      <c r="N31" s="71">
        <f t="shared" ref="N31:O33" si="4">D31</f>
        <v>37.521099999999961</v>
      </c>
      <c r="O31" s="71">
        <f t="shared" si="4"/>
        <v>52.533927944118659</v>
      </c>
      <c r="P31" s="71"/>
      <c r="Q31" s="71"/>
      <c r="R31" s="71"/>
      <c r="S31" s="71"/>
      <c r="T31" s="72"/>
      <c r="U31" s="72"/>
      <c r="V31" s="72"/>
      <c r="W31" s="72"/>
      <c r="X31" s="83"/>
      <c r="Y31" s="83"/>
      <c r="Z31" s="19"/>
      <c r="AA31" s="19"/>
      <c r="AB31" s="19"/>
    </row>
    <row r="32" spans="2:28" s="1" customFormat="1">
      <c r="C32" s="177" t="s">
        <v>14</v>
      </c>
      <c r="D32" s="178">
        <f>Resumen!E43</f>
        <v>150.47638046666668</v>
      </c>
      <c r="E32" s="179">
        <f>Resumen!F43</f>
        <v>162.14314952000001</v>
      </c>
      <c r="F32" s="180">
        <f t="shared" si="2"/>
        <v>7.7532228095543054E-2</v>
      </c>
      <c r="G32" s="268">
        <f>Resumen!H43</f>
        <v>1221.6959058166667</v>
      </c>
      <c r="H32" s="179">
        <f>Resumen!I43</f>
        <v>1387.6711204849998</v>
      </c>
      <c r="I32" s="180">
        <f t="shared" si="3"/>
        <v>0.13585640573738655</v>
      </c>
      <c r="J32" s="20"/>
      <c r="K32" s="55"/>
      <c r="L32" s="55"/>
      <c r="M32" s="56" t="s">
        <v>14</v>
      </c>
      <c r="N32" s="71">
        <f t="shared" si="4"/>
        <v>150.47638046666668</v>
      </c>
      <c r="O32" s="71">
        <f t="shared" si="4"/>
        <v>162.14314952000001</v>
      </c>
      <c r="P32" s="71"/>
      <c r="Q32" s="71"/>
      <c r="R32" s="71"/>
      <c r="S32" s="71"/>
      <c r="T32" s="72"/>
      <c r="U32" s="72"/>
      <c r="V32" s="72"/>
      <c r="W32" s="72"/>
      <c r="X32" s="83"/>
      <c r="Y32" s="83"/>
      <c r="Z32" s="19"/>
      <c r="AA32" s="19"/>
      <c r="AB32" s="19"/>
    </row>
    <row r="33" spans="2:28" s="1" customFormat="1">
      <c r="C33" s="177" t="s">
        <v>5</v>
      </c>
      <c r="D33" s="178">
        <f>Resumen!E44</f>
        <v>74.919142999999991</v>
      </c>
      <c r="E33" s="179">
        <f>Resumen!F44</f>
        <v>77.070130602500001</v>
      </c>
      <c r="F33" s="180">
        <f t="shared" si="2"/>
        <v>2.8710787608715815E-2</v>
      </c>
      <c r="G33" s="268">
        <f>Resumen!H44</f>
        <v>592.02835100000016</v>
      </c>
      <c r="H33" s="179">
        <f>Resumen!I44</f>
        <v>609.06993416249998</v>
      </c>
      <c r="I33" s="180">
        <f t="shared" si="3"/>
        <v>2.8785079521470136E-2</v>
      </c>
      <c r="J33" s="20"/>
      <c r="K33" s="55"/>
      <c r="L33" s="55"/>
      <c r="M33" s="56" t="s">
        <v>5</v>
      </c>
      <c r="N33" s="71">
        <f t="shared" si="4"/>
        <v>74.919142999999991</v>
      </c>
      <c r="O33" s="71">
        <f t="shared" si="4"/>
        <v>77.070130602500001</v>
      </c>
      <c r="P33" s="71"/>
      <c r="Q33" s="71"/>
      <c r="R33" s="71"/>
      <c r="S33" s="71"/>
      <c r="T33" s="72"/>
      <c r="U33" s="72"/>
      <c r="V33" s="72"/>
      <c r="W33" s="72"/>
      <c r="X33" s="83"/>
      <c r="Y33" s="83"/>
      <c r="Z33" s="19"/>
      <c r="AA33" s="19"/>
      <c r="AB33" s="19"/>
    </row>
    <row r="34" spans="2:28" s="1" customFormat="1" ht="13.5" thickBot="1">
      <c r="C34" s="181" t="s">
        <v>4</v>
      </c>
      <c r="D34" s="182">
        <v>0.42025000000000001</v>
      </c>
      <c r="E34" s="183">
        <v>0.34049004549250433</v>
      </c>
      <c r="F34" s="184">
        <f t="shared" si="2"/>
        <v>-0.1897916823497815</v>
      </c>
      <c r="G34" s="269">
        <v>3.4116300000000002</v>
      </c>
      <c r="H34" s="183">
        <v>3.7147754894925038</v>
      </c>
      <c r="I34" s="184">
        <f t="shared" si="3"/>
        <v>8.8856496599134083E-2</v>
      </c>
      <c r="J34" s="20"/>
      <c r="K34" s="55"/>
      <c r="L34" s="55"/>
      <c r="M34" s="100"/>
      <c r="N34" s="101">
        <f>SUM(N27:N33)</f>
        <v>4699.6795188645283</v>
      </c>
      <c r="O34" s="101">
        <f>SUM(O27:O33)</f>
        <v>4832.4834830391428</v>
      </c>
      <c r="P34" s="71"/>
      <c r="Q34" s="71"/>
      <c r="R34" s="71"/>
      <c r="S34" s="71"/>
      <c r="T34" s="72"/>
      <c r="U34" s="72"/>
      <c r="V34" s="72"/>
      <c r="W34" s="72"/>
      <c r="X34" s="83"/>
      <c r="Y34" s="83"/>
      <c r="Z34" s="19"/>
      <c r="AA34" s="19"/>
      <c r="AB34" s="19"/>
    </row>
    <row r="35" spans="2:28" s="1" customFormat="1" ht="15" customHeight="1" thickTop="1" thickBot="1">
      <c r="C35" s="323" t="s">
        <v>114</v>
      </c>
      <c r="D35" s="324">
        <f>SUM(D28:D34)</f>
        <v>4699.6795188645283</v>
      </c>
      <c r="E35" s="325">
        <f>SUM(E28:E34)</f>
        <v>4832.4834830391428</v>
      </c>
      <c r="F35" s="326">
        <f t="shared" si="2"/>
        <v>2.8258089438128575E-2</v>
      </c>
      <c r="G35" s="327">
        <f>SUM(G28:G34)</f>
        <v>45411.72909333765</v>
      </c>
      <c r="H35" s="325">
        <f>SUM(H28:H34)</f>
        <v>47266.064477777029</v>
      </c>
      <c r="I35" s="328">
        <f t="shared" si="3"/>
        <v>4.0833842301579049E-2</v>
      </c>
      <c r="J35" s="20"/>
      <c r="K35" s="55"/>
      <c r="L35" s="55"/>
      <c r="M35" s="56"/>
      <c r="N35" s="71"/>
      <c r="O35" s="71"/>
      <c r="P35" s="71"/>
      <c r="Q35" s="71"/>
      <c r="R35" s="71"/>
      <c r="S35" s="71"/>
      <c r="T35" s="72"/>
      <c r="U35" s="72"/>
      <c r="V35" s="72"/>
      <c r="W35" s="72"/>
      <c r="X35" s="83"/>
      <c r="Y35" s="83"/>
      <c r="Z35" s="19"/>
      <c r="AA35" s="19"/>
      <c r="AB35" s="19"/>
    </row>
    <row r="36" spans="2:28" s="1" customFormat="1">
      <c r="B36" s="16"/>
      <c r="C36" s="185"/>
      <c r="D36" s="185"/>
      <c r="E36" s="186"/>
      <c r="F36" s="187"/>
      <c r="G36" s="17"/>
      <c r="H36" s="17"/>
      <c r="I36" s="18"/>
      <c r="J36" s="20"/>
      <c r="K36" s="55"/>
      <c r="L36" s="55"/>
      <c r="M36" s="56"/>
      <c r="N36" s="101"/>
      <c r="O36" s="71"/>
      <c r="P36" s="71"/>
      <c r="Q36" s="71"/>
      <c r="R36" s="71"/>
      <c r="S36" s="71"/>
      <c r="T36" s="72"/>
      <c r="U36" s="72"/>
      <c r="V36" s="72"/>
      <c r="W36" s="72"/>
      <c r="X36" s="83"/>
      <c r="Y36" s="83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5"/>
      <c r="L37" s="55"/>
      <c r="M37" s="56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83"/>
      <c r="Y37" s="83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5"/>
      <c r="L38" s="55"/>
      <c r="M38" s="56"/>
      <c r="N38" s="71"/>
      <c r="O38" s="71"/>
      <c r="P38" s="71"/>
      <c r="Q38" s="71"/>
      <c r="R38" s="71"/>
      <c r="S38" s="71"/>
      <c r="T38" s="72"/>
      <c r="U38" s="72"/>
      <c r="V38" s="72"/>
      <c r="W38" s="72"/>
      <c r="X38" s="83"/>
      <c r="Y38" s="83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5"/>
      <c r="L39" s="55"/>
      <c r="M39" s="242"/>
      <c r="N39" s="242"/>
      <c r="O39" s="71"/>
      <c r="P39" s="71"/>
      <c r="Q39" s="71"/>
      <c r="R39" s="71"/>
      <c r="S39" s="71"/>
      <c r="T39" s="72"/>
      <c r="U39" s="72"/>
      <c r="V39" s="72"/>
      <c r="W39" s="72"/>
      <c r="X39" s="83"/>
      <c r="Y39" s="83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5"/>
      <c r="L40" s="55"/>
      <c r="M40" s="242">
        <f t="shared" ref="M40:N46" si="5">N27/N$34</f>
        <v>0.52587652228764292</v>
      </c>
      <c r="N40" s="242">
        <f t="shared" si="5"/>
        <v>0.45901341361901227</v>
      </c>
      <c r="O40" s="71"/>
      <c r="P40" s="71"/>
      <c r="Q40" s="71"/>
      <c r="R40" s="71"/>
      <c r="S40" s="71"/>
      <c r="T40" s="72"/>
      <c r="U40" s="72"/>
      <c r="V40" s="72"/>
      <c r="W40" s="72"/>
      <c r="X40" s="83"/>
      <c r="Y40" s="83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5"/>
      <c r="L41" s="55"/>
      <c r="M41" s="242">
        <f t="shared" si="5"/>
        <v>0.3787145642284177</v>
      </c>
      <c r="N41" s="242">
        <f t="shared" si="5"/>
        <v>0.46052189453814113</v>
      </c>
      <c r="O41" s="71"/>
      <c r="P41" s="71"/>
      <c r="Q41" s="71"/>
      <c r="R41" s="71"/>
      <c r="S41" s="71"/>
      <c r="T41" s="72"/>
      <c r="U41" s="72"/>
      <c r="V41" s="72"/>
      <c r="W41" s="72"/>
      <c r="X41" s="83"/>
      <c r="Y41" s="83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5"/>
      <c r="L42" s="55"/>
      <c r="M42" s="242">
        <f t="shared" si="5"/>
        <v>3.9375970724836118E-2</v>
      </c>
      <c r="N42" s="242">
        <f t="shared" si="5"/>
        <v>2.0022126619960869E-2</v>
      </c>
      <c r="O42" s="71"/>
      <c r="P42" s="71"/>
      <c r="Q42" s="71"/>
      <c r="R42" s="71"/>
      <c r="S42" s="71"/>
      <c r="T42" s="72"/>
      <c r="U42" s="72"/>
      <c r="V42" s="72"/>
      <c r="W42" s="72"/>
      <c r="X42" s="83"/>
      <c r="Y42" s="83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5"/>
      <c r="L43" s="55"/>
      <c r="M43" s="242">
        <f t="shared" si="5"/>
        <v>8.9420991008666697E-5</v>
      </c>
      <c r="N43" s="242">
        <f t="shared" si="5"/>
        <v>7.0458605122509509E-5</v>
      </c>
      <c r="O43" s="71"/>
      <c r="P43" s="71"/>
      <c r="Q43" s="71"/>
      <c r="R43" s="71"/>
      <c r="S43" s="71"/>
      <c r="T43" s="72"/>
      <c r="U43" s="72"/>
      <c r="V43" s="72"/>
      <c r="W43" s="72"/>
      <c r="X43" s="83"/>
      <c r="Y43" s="83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5"/>
      <c r="L44" s="55"/>
      <c r="M44" s="242">
        <f t="shared" si="5"/>
        <v>7.9837571582041175E-3</v>
      </c>
      <c r="N44" s="242">
        <f t="shared" si="5"/>
        <v>1.0871000000000028E-2</v>
      </c>
      <c r="O44" s="71"/>
      <c r="P44" s="71"/>
      <c r="Q44" s="71"/>
      <c r="R44" s="71"/>
      <c r="S44" s="71"/>
      <c r="T44" s="72"/>
      <c r="U44" s="72"/>
      <c r="V44" s="72"/>
      <c r="W44" s="72"/>
      <c r="X44" s="83"/>
      <c r="Y44" s="83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5"/>
      <c r="L45" s="55"/>
      <c r="M45" s="242">
        <f t="shared" si="5"/>
        <v>3.201843441933732E-2</v>
      </c>
      <c r="N45" s="242">
        <f t="shared" si="5"/>
        <v>3.3552758139595004E-2</v>
      </c>
      <c r="O45" s="71"/>
      <c r="P45" s="71"/>
      <c r="Q45" s="71"/>
      <c r="R45" s="71"/>
      <c r="S45" s="71"/>
      <c r="T45" s="72"/>
      <c r="U45" s="72"/>
      <c r="V45" s="72"/>
      <c r="W45" s="72"/>
      <c r="X45" s="83"/>
      <c r="Y45" s="83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5"/>
      <c r="L46" s="55"/>
      <c r="M46" s="242">
        <f t="shared" si="5"/>
        <v>1.5941330190553275E-2</v>
      </c>
      <c r="N46" s="242">
        <f t="shared" si="5"/>
        <v>1.5948348478168142E-2</v>
      </c>
      <c r="O46" s="71"/>
      <c r="P46" s="71"/>
      <c r="Q46" s="71"/>
      <c r="R46" s="71"/>
      <c r="S46" s="71"/>
      <c r="T46" s="72"/>
      <c r="U46" s="72"/>
      <c r="V46" s="72"/>
      <c r="W46" s="72"/>
      <c r="X46" s="83"/>
      <c r="Y46" s="83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5"/>
      <c r="L47" s="55"/>
      <c r="M47" s="242">
        <f>N34/N$34</f>
        <v>1</v>
      </c>
      <c r="N47" s="242">
        <f>O34/O$34</f>
        <v>1</v>
      </c>
      <c r="O47" s="71"/>
      <c r="P47" s="71"/>
      <c r="Q47" s="71"/>
      <c r="R47" s="71"/>
      <c r="S47" s="71"/>
      <c r="T47" s="72"/>
      <c r="U47" s="72"/>
      <c r="V47" s="72"/>
      <c r="W47" s="72"/>
      <c r="X47" s="83"/>
      <c r="Y47" s="83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5"/>
      <c r="L48" s="55"/>
      <c r="M48" s="56"/>
      <c r="N48" s="71"/>
      <c r="O48" s="71"/>
      <c r="P48" s="71"/>
      <c r="Q48" s="71"/>
      <c r="R48" s="71"/>
      <c r="S48" s="71"/>
      <c r="T48" s="72"/>
      <c r="U48" s="72"/>
      <c r="V48" s="72"/>
      <c r="W48" s="72"/>
      <c r="X48" s="83"/>
      <c r="Y48" s="83"/>
      <c r="Z48" s="19"/>
      <c r="AA48" s="19"/>
      <c r="AB48" s="19"/>
    </row>
    <row r="49" spans="2:28" ht="15">
      <c r="B49" s="23" t="s">
        <v>104</v>
      </c>
      <c r="D49" s="26"/>
      <c r="E49" s="26"/>
      <c r="F49" s="26"/>
      <c r="G49" s="26"/>
      <c r="H49" s="26"/>
      <c r="I49" s="26"/>
      <c r="M49" s="243">
        <f>SUM(M39:M46)</f>
        <v>1</v>
      </c>
      <c r="N49" s="243">
        <f>SUM(N39:N46)</f>
        <v>1</v>
      </c>
      <c r="O49" s="71"/>
      <c r="P49" s="71"/>
      <c r="Q49" s="71"/>
      <c r="R49" s="71"/>
      <c r="S49" s="71"/>
      <c r="T49" s="72"/>
      <c r="U49" s="72"/>
      <c r="V49" s="72"/>
      <c r="W49" s="72"/>
      <c r="X49" s="83"/>
      <c r="Y49" s="83"/>
    </row>
    <row r="50" spans="2:28">
      <c r="C50" s="25"/>
      <c r="D50" s="26"/>
      <c r="E50" s="26"/>
      <c r="F50" s="26"/>
      <c r="G50" s="26"/>
      <c r="H50" s="26"/>
      <c r="I50" s="26"/>
      <c r="N50" s="71"/>
      <c r="O50" s="71"/>
      <c r="P50" s="71"/>
      <c r="Q50" s="71"/>
      <c r="R50" s="71"/>
      <c r="S50" s="71"/>
      <c r="T50" s="72"/>
      <c r="U50" s="72"/>
      <c r="V50" s="72"/>
      <c r="W50" s="72"/>
      <c r="X50" s="83"/>
      <c r="Y50" s="83"/>
    </row>
    <row r="51" spans="2:28">
      <c r="C51" s="10" t="s">
        <v>103</v>
      </c>
      <c r="D51" s="26"/>
      <c r="E51" s="26"/>
      <c r="F51" s="26"/>
      <c r="G51" s="26"/>
      <c r="H51" s="26"/>
      <c r="I51" s="26"/>
      <c r="N51" s="71"/>
      <c r="O51" s="71"/>
      <c r="P51" s="71"/>
      <c r="Q51" s="71"/>
      <c r="R51" s="71"/>
      <c r="S51" s="71"/>
      <c r="T51" s="72"/>
      <c r="U51" s="72"/>
      <c r="V51" s="72"/>
      <c r="W51" s="72"/>
      <c r="X51" s="83"/>
      <c r="Y51" s="83"/>
    </row>
    <row r="52" spans="2:28" ht="13.5" thickBot="1">
      <c r="C52" s="10"/>
      <c r="D52" s="26"/>
      <c r="E52" s="26"/>
      <c r="F52" s="26"/>
      <c r="G52" s="26"/>
      <c r="H52" s="26"/>
      <c r="I52" s="26"/>
      <c r="N52" s="71"/>
      <c r="O52" s="71"/>
      <c r="P52" s="71"/>
      <c r="Q52" s="71"/>
      <c r="R52" s="71"/>
      <c r="S52" s="71"/>
      <c r="T52" s="71"/>
      <c r="U52" s="71"/>
      <c r="V52" s="74"/>
    </row>
    <row r="53" spans="2:28">
      <c r="C53" s="376" t="s">
        <v>93</v>
      </c>
      <c r="D53" s="378" t="s">
        <v>126</v>
      </c>
      <c r="E53" s="378"/>
      <c r="F53" s="379" t="s">
        <v>75</v>
      </c>
      <c r="G53" s="381" t="s">
        <v>127</v>
      </c>
      <c r="H53" s="382"/>
      <c r="I53" s="379" t="s">
        <v>75</v>
      </c>
      <c r="N53" s="71"/>
      <c r="O53" s="71"/>
      <c r="P53" s="71"/>
      <c r="Q53" s="71"/>
      <c r="R53" s="71"/>
      <c r="S53" s="71"/>
      <c r="T53" s="71"/>
      <c r="U53" s="71"/>
      <c r="V53" s="74"/>
    </row>
    <row r="54" spans="2:28" s="1" customFormat="1">
      <c r="B54" s="19"/>
      <c r="C54" s="377"/>
      <c r="D54" s="98">
        <v>2018</v>
      </c>
      <c r="E54" s="99">
        <v>2019</v>
      </c>
      <c r="F54" s="380"/>
      <c r="G54" s="253">
        <v>2018</v>
      </c>
      <c r="H54" s="99">
        <v>2019</v>
      </c>
      <c r="I54" s="380"/>
      <c r="J54" s="20"/>
      <c r="K54" s="55"/>
      <c r="L54" s="55"/>
      <c r="M54" s="56"/>
      <c r="N54" s="71"/>
      <c r="O54" s="71"/>
      <c r="P54" s="71"/>
      <c r="Q54" s="71"/>
      <c r="R54" s="71"/>
      <c r="S54" s="71"/>
      <c r="T54" s="71"/>
      <c r="U54" s="71"/>
      <c r="V54" s="74"/>
      <c r="W54" s="58"/>
      <c r="X54" s="58"/>
      <c r="Y54" s="58"/>
      <c r="Z54" s="19"/>
      <c r="AA54" s="19"/>
      <c r="AB54" s="19"/>
    </row>
    <row r="55" spans="2:28" ht="24.75" customHeight="1">
      <c r="C55" s="306" t="s">
        <v>42</v>
      </c>
      <c r="D55" s="307">
        <f>SUM(D28:D30,D34)</f>
        <v>4436.7628953978619</v>
      </c>
      <c r="E55" s="308">
        <f>SUM(E28:E30,E34)</f>
        <v>4540.7362749725235</v>
      </c>
      <c r="F55" s="309">
        <f>+E55/D55-1</f>
        <v>2.3434513411232816E-2</v>
      </c>
      <c r="G55" s="310">
        <f>SUM(G28:G30,G34)</f>
        <v>43278.41452357098</v>
      </c>
      <c r="H55" s="308">
        <f>SUM(H28:H30,H34)</f>
        <v>44824.277877441709</v>
      </c>
      <c r="I55" s="309">
        <f>+H55/G55-1</f>
        <v>3.5719038483463805E-2</v>
      </c>
      <c r="M55" s="69"/>
      <c r="N55" s="73"/>
      <c r="O55" s="73"/>
      <c r="P55" s="73"/>
      <c r="Q55" s="73"/>
      <c r="R55" s="73"/>
      <c r="S55" s="73"/>
      <c r="T55" s="71"/>
      <c r="U55" s="71"/>
    </row>
    <row r="56" spans="2:28" ht="24.75" thickBot="1">
      <c r="C56" s="311" t="s">
        <v>110</v>
      </c>
      <c r="D56" s="312">
        <f>SUM(D31:D33)</f>
        <v>262.91662346666664</v>
      </c>
      <c r="E56" s="313">
        <f>SUM(E31:E33)</f>
        <v>291.74720806661867</v>
      </c>
      <c r="F56" s="314">
        <f>+E56/D56-1</f>
        <v>0.1096567581760659</v>
      </c>
      <c r="G56" s="315">
        <f>SUM(G31:G33)</f>
        <v>2133.3145697666669</v>
      </c>
      <c r="H56" s="313">
        <f>SUM(H31:H33)</f>
        <v>2441.7866003353183</v>
      </c>
      <c r="I56" s="316">
        <f>+H56/G56-1</f>
        <v>0.14459753612538773</v>
      </c>
      <c r="N56" s="71"/>
      <c r="O56" s="71"/>
      <c r="P56" s="71"/>
      <c r="Q56" s="71"/>
      <c r="R56" s="71"/>
      <c r="S56" s="71"/>
      <c r="T56" s="71"/>
      <c r="U56" s="71"/>
    </row>
    <row r="57" spans="2:28">
      <c r="C57" s="116" t="s">
        <v>72</v>
      </c>
      <c r="D57" s="103">
        <f>SUM(D55:D56)</f>
        <v>4699.6795188645283</v>
      </c>
      <c r="E57" s="104">
        <f>SUM(E55:E56)</f>
        <v>4832.4834830391419</v>
      </c>
      <c r="F57" s="105">
        <f>+E57/D57-1</f>
        <v>2.8258089438128353E-2</v>
      </c>
      <c r="G57" s="270">
        <f>SUM(G55:G56)</f>
        <v>45411.72909333765</v>
      </c>
      <c r="H57" s="104">
        <f>SUM(H55:H56)</f>
        <v>47266.064477777029</v>
      </c>
      <c r="I57" s="105">
        <f>+H57/G57-1</f>
        <v>4.0833842301579049E-2</v>
      </c>
      <c r="N57" s="75"/>
      <c r="O57" s="75"/>
      <c r="P57" s="75"/>
      <c r="Q57" s="75"/>
      <c r="R57" s="75"/>
      <c r="S57" s="75"/>
      <c r="T57" s="75"/>
      <c r="U57" s="75"/>
    </row>
    <row r="58" spans="2:28" ht="13.5" thickBot="1">
      <c r="C58" s="129" t="s">
        <v>8</v>
      </c>
      <c r="D58" s="106">
        <f>+D56/D57</f>
        <v>5.5943521768094716E-2</v>
      </c>
      <c r="E58" s="107">
        <f>+E56/E57</f>
        <v>6.0372106617763183E-2</v>
      </c>
      <c r="F58" s="108"/>
      <c r="G58" s="271">
        <f>+G56/G57</f>
        <v>4.6977171148491793E-2</v>
      </c>
      <c r="H58" s="107">
        <f>+H56/H57</f>
        <v>5.1660459302326031E-2</v>
      </c>
      <c r="I58" s="108"/>
      <c r="N58" s="75"/>
      <c r="O58" s="75"/>
      <c r="P58" s="75"/>
      <c r="Q58" s="75"/>
      <c r="R58" s="75"/>
      <c r="S58" s="75"/>
      <c r="T58" s="75"/>
      <c r="U58" s="75"/>
    </row>
    <row r="59" spans="2:28" s="1" customFormat="1">
      <c r="B59" s="19"/>
      <c r="C59" s="281" t="s">
        <v>111</v>
      </c>
      <c r="D59" s="127"/>
      <c r="E59" s="127"/>
      <c r="F59" s="128"/>
      <c r="G59" s="26"/>
      <c r="H59" s="26"/>
      <c r="I59" s="26"/>
      <c r="J59" s="20"/>
      <c r="K59" s="55"/>
      <c r="L59" s="55"/>
      <c r="M59" s="56"/>
      <c r="N59" s="75"/>
      <c r="O59" s="75"/>
      <c r="P59" s="75"/>
      <c r="Q59" s="75"/>
      <c r="R59" s="75"/>
      <c r="S59" s="75"/>
      <c r="T59" s="75"/>
      <c r="U59" s="75"/>
      <c r="V59" s="58"/>
      <c r="W59" s="58"/>
      <c r="X59" s="58"/>
      <c r="Y59" s="58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6"/>
      <c r="L60" s="58"/>
      <c r="M60" s="77"/>
      <c r="N60" s="77"/>
      <c r="O60" s="77"/>
      <c r="P60" s="77"/>
      <c r="Q60" s="77"/>
      <c r="R60" s="77"/>
      <c r="S60" s="77"/>
      <c r="T60" s="77"/>
      <c r="U60" s="77"/>
      <c r="V60" s="77"/>
    </row>
    <row r="61" spans="2:28">
      <c r="K61" s="76"/>
      <c r="L61" s="58"/>
      <c r="M61" s="77"/>
      <c r="N61" s="77"/>
      <c r="O61" s="77"/>
      <c r="P61" s="77"/>
      <c r="Q61" s="77"/>
      <c r="R61" s="77"/>
      <c r="S61" s="77"/>
      <c r="T61" s="77"/>
      <c r="U61" s="77"/>
      <c r="V61" s="77"/>
    </row>
    <row r="62" spans="2:28">
      <c r="K62" s="76"/>
      <c r="L62" s="56"/>
      <c r="P62" s="77"/>
      <c r="Q62" s="77"/>
      <c r="R62" s="77"/>
      <c r="S62" s="77"/>
      <c r="T62" s="77"/>
      <c r="U62" s="77"/>
      <c r="V62" s="77"/>
    </row>
    <row r="63" spans="2:28" ht="25.5">
      <c r="L63" s="86" t="s">
        <v>58</v>
      </c>
      <c r="M63" s="77">
        <f>D55</f>
        <v>4436.7628953978619</v>
      </c>
      <c r="N63" s="77">
        <f>E55</f>
        <v>4540.7362749725235</v>
      </c>
      <c r="O63" s="85">
        <v>4.4847805250167516E-2</v>
      </c>
      <c r="P63" s="78"/>
      <c r="Q63" s="78"/>
      <c r="R63" s="78"/>
      <c r="S63" s="78"/>
      <c r="T63" s="78"/>
    </row>
    <row r="64" spans="2:28" s="1" customFormat="1" ht="38.25">
      <c r="B64" s="19"/>
      <c r="J64" s="20"/>
      <c r="K64" s="76"/>
      <c r="L64" s="86" t="s">
        <v>59</v>
      </c>
      <c r="M64" s="77">
        <f>D56</f>
        <v>262.91662346666664</v>
      </c>
      <c r="N64" s="77">
        <f>E56</f>
        <v>291.74720806661867</v>
      </c>
      <c r="O64" s="85">
        <v>0.12281081992035348</v>
      </c>
      <c r="P64" s="77"/>
      <c r="Q64" s="77"/>
      <c r="R64" s="77"/>
      <c r="S64" s="77"/>
      <c r="T64" s="77"/>
      <c r="U64" s="77"/>
      <c r="V64" s="77"/>
      <c r="W64" s="77"/>
      <c r="X64" s="77"/>
      <c r="Y64" s="58"/>
      <c r="Z64" s="19"/>
      <c r="AA64" s="19"/>
      <c r="AB64" s="19"/>
    </row>
    <row r="65" spans="2:28" s="1" customFormat="1">
      <c r="B65" s="19"/>
      <c r="J65" s="20"/>
      <c r="K65" s="76"/>
      <c r="L65" s="58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58"/>
      <c r="Z65" s="19"/>
      <c r="AA65" s="19"/>
      <c r="AB65" s="19"/>
    </row>
    <row r="66" spans="2:28">
      <c r="K66" s="76"/>
      <c r="L66" s="58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</row>
    <row r="67" spans="2:28">
      <c r="K67" s="76"/>
      <c r="L67" s="58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</row>
    <row r="68" spans="2:28" ht="26.25" customHeight="1"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</row>
    <row r="69" spans="2:28" ht="24.75" customHeight="1"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</row>
    <row r="70" spans="2:28">
      <c r="M70" s="69"/>
      <c r="N70" s="73"/>
      <c r="O70" s="73"/>
      <c r="P70" s="73"/>
      <c r="Q70" s="73"/>
      <c r="R70" s="73"/>
      <c r="S70" s="73"/>
      <c r="T70" s="73"/>
      <c r="U70" s="73"/>
      <c r="V70" s="71"/>
    </row>
    <row r="71" spans="2:28">
      <c r="C71" s="281" t="s">
        <v>111</v>
      </c>
      <c r="M71" s="69"/>
      <c r="N71" s="79"/>
      <c r="O71" s="79"/>
      <c r="P71" s="79"/>
      <c r="Q71" s="79"/>
      <c r="R71" s="79"/>
      <c r="S71" s="79"/>
      <c r="T71" s="79"/>
      <c r="U71" s="79"/>
      <c r="V71" s="80"/>
    </row>
    <row r="72" spans="2:28" ht="15">
      <c r="B72" s="23" t="s">
        <v>124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5"/>
      <c r="L73" s="55"/>
      <c r="M73" s="56"/>
      <c r="N73" s="56"/>
      <c r="O73" s="56"/>
      <c r="P73" s="56"/>
      <c r="Q73" s="56"/>
      <c r="R73" s="56"/>
      <c r="S73" s="56"/>
      <c r="T73" s="56"/>
      <c r="U73" s="56"/>
      <c r="V73" s="58"/>
      <c r="W73" s="58"/>
      <c r="X73" s="58"/>
      <c r="Y73" s="58"/>
      <c r="Z73" s="19"/>
      <c r="AA73" s="19"/>
      <c r="AB73" s="19"/>
    </row>
    <row r="74" spans="2:28" s="1" customFormat="1" ht="15">
      <c r="B74" s="23"/>
      <c r="C74" s="10" t="s">
        <v>100</v>
      </c>
      <c r="D74" s="20"/>
      <c r="E74" s="20"/>
      <c r="F74" s="20"/>
      <c r="G74" s="20"/>
      <c r="H74" s="20"/>
      <c r="I74" s="20"/>
      <c r="J74" s="20"/>
      <c r="K74" s="55"/>
      <c r="L74" s="55"/>
      <c r="M74" s="56"/>
      <c r="N74" s="56"/>
      <c r="O74" s="56"/>
      <c r="P74" s="56"/>
      <c r="Q74" s="56"/>
      <c r="R74" s="56"/>
      <c r="S74" s="56"/>
      <c r="T74" s="56"/>
      <c r="U74" s="56"/>
      <c r="V74" s="58"/>
      <c r="W74" s="58"/>
      <c r="X74" s="58"/>
      <c r="Y74" s="58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8"/>
      <c r="L75" s="58"/>
      <c r="M75" s="56"/>
      <c r="N75" s="56">
        <v>2018</v>
      </c>
      <c r="O75" s="56">
        <v>2019</v>
      </c>
      <c r="P75" s="56"/>
      <c r="Q75" s="56"/>
      <c r="R75" s="56"/>
      <c r="S75" s="56"/>
      <c r="T75" s="56"/>
      <c r="U75" s="56"/>
      <c r="V75" s="58"/>
      <c r="W75" s="58"/>
      <c r="X75" s="58"/>
      <c r="Y75" s="58"/>
      <c r="Z75" s="19"/>
      <c r="AA75" s="19"/>
      <c r="AB75" s="19"/>
    </row>
    <row r="76" spans="2:28" s="1" customFormat="1" ht="15" customHeight="1">
      <c r="B76" s="19"/>
      <c r="C76" s="340"/>
      <c r="D76" s="378" t="s">
        <v>126</v>
      </c>
      <c r="E76" s="378"/>
      <c r="F76" s="109" t="s">
        <v>75</v>
      </c>
      <c r="G76" s="381" t="s">
        <v>127</v>
      </c>
      <c r="H76" s="382"/>
      <c r="I76" s="240" t="s">
        <v>75</v>
      </c>
      <c r="J76" s="19"/>
      <c r="K76" s="58"/>
      <c r="L76" s="58"/>
      <c r="M76" s="56" t="s">
        <v>98</v>
      </c>
      <c r="N76" s="71">
        <f>D78</f>
        <v>0.86208542249999998</v>
      </c>
      <c r="O76" s="71">
        <f>E78</f>
        <v>3.9287996150000004</v>
      </c>
      <c r="P76" s="56"/>
      <c r="Q76" s="56"/>
      <c r="R76" s="56"/>
      <c r="S76" s="56"/>
      <c r="T76" s="56"/>
      <c r="U76" s="56"/>
      <c r="V76" s="58"/>
      <c r="W76" s="58"/>
      <c r="X76" s="58"/>
      <c r="Y76" s="58"/>
      <c r="Z76" s="19"/>
      <c r="AA76" s="19"/>
      <c r="AB76" s="19"/>
    </row>
    <row r="77" spans="2:28" s="1" customFormat="1" ht="12.75" customHeight="1">
      <c r="B77" s="19"/>
      <c r="C77" s="130" t="s">
        <v>97</v>
      </c>
      <c r="D77" s="131">
        <v>2018</v>
      </c>
      <c r="E77" s="245">
        <v>2019</v>
      </c>
      <c r="F77" s="110"/>
      <c r="G77" s="272">
        <v>2018</v>
      </c>
      <c r="H77" s="245">
        <v>2019</v>
      </c>
      <c r="I77" s="241"/>
      <c r="J77" s="19"/>
      <c r="K77" s="58"/>
      <c r="L77" s="58"/>
      <c r="M77" s="56" t="s">
        <v>99</v>
      </c>
      <c r="N77" s="71">
        <f>D79</f>
        <v>4481.6588162911066</v>
      </c>
      <c r="O77" s="71">
        <f>E79</f>
        <v>4611.0929266873818</v>
      </c>
      <c r="P77" s="56"/>
      <c r="Q77" s="56"/>
      <c r="R77" s="56"/>
      <c r="S77" s="56"/>
      <c r="T77" s="56"/>
      <c r="U77" s="56"/>
      <c r="V77" s="58"/>
      <c r="W77" s="58"/>
      <c r="X77" s="58"/>
      <c r="Y77" s="58"/>
      <c r="Z77" s="19"/>
      <c r="AA77" s="19"/>
      <c r="AB77" s="19"/>
    </row>
    <row r="78" spans="2:28" ht="12.75" customHeight="1">
      <c r="C78" s="224" t="s">
        <v>98</v>
      </c>
      <c r="D78" s="341">
        <v>0.86208542249999998</v>
      </c>
      <c r="E78" s="354">
        <v>3.9287996150000004</v>
      </c>
      <c r="F78" s="165">
        <f>((E78/D78)-1)</f>
        <v>3.5573205536948986</v>
      </c>
      <c r="G78" s="249">
        <v>129.84310819749999</v>
      </c>
      <c r="H78" s="357">
        <v>188.70967725749995</v>
      </c>
      <c r="I78" s="165">
        <f>((H78/G78)-1)</f>
        <v>0.45336691240061811</v>
      </c>
      <c r="J78" s="19"/>
      <c r="K78" s="275"/>
      <c r="L78" s="58"/>
    </row>
    <row r="79" spans="2:28" ht="16.5" customHeight="1" thickBot="1">
      <c r="C79" s="317" t="s">
        <v>99</v>
      </c>
      <c r="D79" s="167">
        <f>Resumen!E40-D78</f>
        <v>4481.6588162911066</v>
      </c>
      <c r="E79" s="355">
        <f>Resumen!F40-E78</f>
        <v>4611.0929266873818</v>
      </c>
      <c r="F79" s="169">
        <f>((E79/D79)-1)</f>
        <v>2.8880848744168963E-2</v>
      </c>
      <c r="G79" s="250">
        <f>Resumen!H40-G78</f>
        <v>43208.37596723844</v>
      </c>
      <c r="H79" s="355">
        <f>Resumen!I40-H78</f>
        <v>45022.635535106965</v>
      </c>
      <c r="I79" s="169">
        <f>((H79/G79)-1)</f>
        <v>4.1988608163475938E-2</v>
      </c>
      <c r="J79" s="19"/>
      <c r="K79" s="58"/>
      <c r="L79" s="58"/>
      <c r="M79" s="71"/>
      <c r="N79" s="71"/>
      <c r="O79" s="71"/>
    </row>
    <row r="80" spans="2:28" ht="14.25" thickTop="1" thickBot="1">
      <c r="C80" s="132" t="s">
        <v>96</v>
      </c>
      <c r="D80" s="244">
        <f>SUM(D78:D79)</f>
        <v>4482.5209017136067</v>
      </c>
      <c r="E80" s="356">
        <f>SUM(E78:E79)</f>
        <v>4615.0217263023815</v>
      </c>
      <c r="F80" s="133"/>
      <c r="G80" s="273">
        <f>SUM(G78:G79)</f>
        <v>43338.21907543594</v>
      </c>
      <c r="H80" s="356">
        <f>SUM(H78:H79)</f>
        <v>45211.345212364467</v>
      </c>
      <c r="I80" s="133"/>
      <c r="J80" s="19"/>
      <c r="K80" s="58"/>
      <c r="L80" s="58"/>
      <c r="N80" s="71"/>
      <c r="O80" s="71"/>
    </row>
    <row r="81" spans="3:12">
      <c r="C81" s="91"/>
      <c r="D81" s="92"/>
      <c r="E81" s="92"/>
      <c r="F81" s="93"/>
      <c r="G81" s="9"/>
      <c r="H81" s="19"/>
      <c r="I81" s="19"/>
      <c r="J81" s="19"/>
      <c r="K81" s="58"/>
      <c r="L81" s="58"/>
    </row>
    <row r="82" spans="3:12">
      <c r="C82" s="19"/>
      <c r="D82" s="19"/>
      <c r="E82" s="19"/>
      <c r="F82" s="19"/>
      <c r="G82" s="19"/>
      <c r="H82" s="19"/>
      <c r="I82" s="19"/>
      <c r="J82" s="19"/>
      <c r="K82" s="58"/>
      <c r="L82" s="58"/>
    </row>
    <row r="83" spans="3:12">
      <c r="C83" s="19"/>
      <c r="D83" s="19"/>
      <c r="E83" s="19"/>
      <c r="F83" s="19"/>
      <c r="G83" s="19"/>
      <c r="H83" s="19"/>
      <c r="I83" s="19"/>
      <c r="J83" s="19"/>
      <c r="K83" s="58"/>
      <c r="L83" s="58"/>
    </row>
    <row r="84" spans="3:12">
      <c r="C84" s="19"/>
      <c r="D84" s="19"/>
      <c r="E84" s="19"/>
      <c r="F84" s="19"/>
      <c r="G84" s="19"/>
      <c r="H84" s="19"/>
      <c r="I84" s="19"/>
      <c r="J84" s="19"/>
      <c r="K84" s="58"/>
      <c r="L84" s="58"/>
    </row>
    <row r="85" spans="3:12">
      <c r="C85" s="19"/>
      <c r="D85" s="19"/>
      <c r="E85" s="19"/>
      <c r="F85" s="19"/>
      <c r="G85" s="19"/>
      <c r="H85" s="19"/>
      <c r="I85" s="19"/>
      <c r="J85" s="19"/>
      <c r="K85" s="58"/>
      <c r="L85" s="58"/>
    </row>
    <row r="86" spans="3:12">
      <c r="C86" s="19"/>
      <c r="D86" s="19"/>
      <c r="E86" s="19"/>
      <c r="F86" s="19"/>
      <c r="G86" s="19"/>
      <c r="H86" s="19"/>
      <c r="I86" s="19"/>
      <c r="J86" s="19"/>
      <c r="K86" s="58"/>
      <c r="L86" s="58"/>
    </row>
    <row r="87" spans="3:12">
      <c r="C87" s="19"/>
      <c r="D87" s="19"/>
      <c r="E87" s="19"/>
      <c r="F87" s="19"/>
      <c r="G87" s="19"/>
      <c r="H87" s="19"/>
      <c r="I87" s="19"/>
      <c r="J87" s="19"/>
      <c r="K87" s="58"/>
      <c r="L87" s="58"/>
    </row>
    <row r="88" spans="3:12">
      <c r="C88" s="19"/>
      <c r="D88" s="19"/>
      <c r="E88" s="19"/>
      <c r="F88" s="19"/>
      <c r="G88" s="19"/>
      <c r="H88" s="19"/>
      <c r="I88" s="19"/>
      <c r="J88" s="19"/>
      <c r="K88" s="58"/>
      <c r="L88" s="58"/>
    </row>
    <row r="89" spans="3:12">
      <c r="C89" s="19"/>
      <c r="D89" s="19"/>
      <c r="E89" s="19"/>
      <c r="F89" s="19"/>
      <c r="G89" s="19"/>
      <c r="H89" s="19"/>
      <c r="I89" s="19"/>
      <c r="J89" s="19"/>
      <c r="K89" s="58"/>
      <c r="L89" s="58"/>
    </row>
    <row r="90" spans="3:12">
      <c r="C90" s="19"/>
      <c r="D90" s="19"/>
      <c r="E90" s="19"/>
      <c r="F90" s="19"/>
      <c r="G90" s="19"/>
      <c r="H90" s="19"/>
      <c r="I90" s="19"/>
      <c r="J90" s="19"/>
      <c r="K90" s="58"/>
      <c r="L90" s="58"/>
    </row>
    <row r="91" spans="3:12">
      <c r="C91" s="19"/>
      <c r="D91" s="19"/>
      <c r="E91" s="19"/>
      <c r="F91" s="19"/>
      <c r="G91" s="19"/>
      <c r="H91" s="19"/>
      <c r="I91" s="19"/>
      <c r="J91" s="19"/>
      <c r="K91" s="58"/>
      <c r="L91" s="58"/>
    </row>
    <row r="92" spans="3:12">
      <c r="C92" s="19"/>
      <c r="D92" s="19"/>
      <c r="E92" s="19"/>
      <c r="F92" s="19"/>
      <c r="G92" s="19"/>
      <c r="H92" s="19"/>
      <c r="I92" s="19"/>
      <c r="J92" s="19"/>
      <c r="K92" s="58"/>
      <c r="L92" s="58"/>
    </row>
    <row r="93" spans="3:12">
      <c r="C93" s="19"/>
      <c r="D93" s="19"/>
      <c r="E93" s="19"/>
      <c r="F93" s="19"/>
      <c r="G93" s="19"/>
      <c r="H93" s="19"/>
      <c r="I93" s="19"/>
      <c r="J93" s="19"/>
      <c r="K93" s="58"/>
      <c r="L93" s="58"/>
    </row>
    <row r="94" spans="3:12">
      <c r="C94" s="19"/>
      <c r="D94" s="19"/>
      <c r="E94" s="19"/>
      <c r="F94" s="19"/>
      <c r="G94" s="19"/>
      <c r="H94" s="19"/>
      <c r="I94" s="19"/>
      <c r="J94" s="19"/>
      <c r="K94" s="58"/>
      <c r="L94" s="58"/>
    </row>
    <row r="95" spans="3:12">
      <c r="C95" s="19"/>
      <c r="D95" s="19"/>
      <c r="E95" s="19"/>
      <c r="F95" s="19"/>
      <c r="G95" s="19"/>
      <c r="H95" s="19"/>
      <c r="I95" s="19"/>
      <c r="J95" s="19"/>
      <c r="K95" s="58"/>
      <c r="L95" s="58"/>
    </row>
    <row r="96" spans="3:12">
      <c r="C96" s="19"/>
      <c r="D96" s="19"/>
      <c r="E96" s="19"/>
      <c r="F96" s="19"/>
      <c r="G96" s="19"/>
      <c r="H96" s="19"/>
      <c r="I96" s="19"/>
      <c r="J96" s="19"/>
      <c r="K96" s="58"/>
      <c r="L96" s="58"/>
    </row>
    <row r="97" spans="3:12">
      <c r="C97" s="19"/>
      <c r="D97" s="19"/>
      <c r="E97" s="19"/>
      <c r="F97" s="19"/>
      <c r="G97" s="19"/>
      <c r="H97" s="19"/>
      <c r="I97" s="19"/>
      <c r="J97" s="19"/>
      <c r="K97" s="58"/>
      <c r="L97" s="58"/>
    </row>
    <row r="98" spans="3:12">
      <c r="C98" s="19"/>
      <c r="D98" s="19"/>
      <c r="E98" s="19"/>
      <c r="F98" s="19"/>
      <c r="G98" s="19"/>
      <c r="H98" s="19"/>
      <c r="I98" s="19"/>
      <c r="J98" s="19"/>
      <c r="K98" s="58"/>
      <c r="L98" s="58"/>
    </row>
    <row r="99" spans="3:12">
      <c r="C99" s="19"/>
      <c r="D99" s="19"/>
      <c r="E99" s="19"/>
      <c r="F99" s="19"/>
      <c r="G99" s="19"/>
      <c r="H99" s="19"/>
      <c r="I99" s="19"/>
      <c r="J99" s="19"/>
      <c r="K99" s="58"/>
      <c r="L99" s="58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8"/>
      <c r="L100" s="58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8"/>
      <c r="L101" s="58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8"/>
      <c r="L102" s="58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8"/>
      <c r="L103" s="58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8"/>
      <c r="L104" s="58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8"/>
      <c r="L105" s="58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8"/>
      <c r="L106" s="58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topLeftCell="A17" zoomScale="90" zoomScaleNormal="100" zoomScaleSheetLayoutView="90" workbookViewId="0">
      <selection activeCell="G48" sqref="G48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94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105</v>
      </c>
      <c r="D4" s="3"/>
      <c r="E4" s="23"/>
      <c r="F4" s="23"/>
      <c r="G4" s="23"/>
      <c r="H4" s="23"/>
      <c r="I4" s="23"/>
      <c r="J4" s="23"/>
    </row>
    <row r="6" spans="2:13">
      <c r="C6" s="10" t="s">
        <v>130</v>
      </c>
    </row>
    <row r="7" spans="2:13" ht="6" customHeight="1" thickBot="1">
      <c r="C7" s="89"/>
      <c r="D7" s="90"/>
      <c r="E7" s="90"/>
      <c r="F7" s="90"/>
      <c r="G7" s="26"/>
      <c r="H7" s="26"/>
      <c r="I7" s="26"/>
      <c r="J7" s="26"/>
    </row>
    <row r="8" spans="2:13" ht="13.5" customHeight="1">
      <c r="C8" s="216" t="s">
        <v>44</v>
      </c>
      <c r="D8" s="390" t="s">
        <v>126</v>
      </c>
      <c r="E8" s="391"/>
      <c r="F8" s="379" t="s">
        <v>75</v>
      </c>
      <c r="G8" s="392" t="s">
        <v>127</v>
      </c>
      <c r="H8" s="393"/>
      <c r="I8" s="379" t="s">
        <v>75</v>
      </c>
      <c r="J8" s="26"/>
    </row>
    <row r="9" spans="2:13" s="1" customFormat="1" ht="13.5" customHeight="1">
      <c r="B9" s="19"/>
      <c r="C9" s="217"/>
      <c r="D9" s="113">
        <v>2018</v>
      </c>
      <c r="E9" s="99">
        <v>2019</v>
      </c>
      <c r="F9" s="380"/>
      <c r="G9" s="113">
        <v>2018</v>
      </c>
      <c r="H9" s="99">
        <v>2019</v>
      </c>
      <c r="I9" s="380"/>
      <c r="J9" s="26"/>
    </row>
    <row r="10" spans="2:13">
      <c r="C10" s="204" t="s">
        <v>10</v>
      </c>
      <c r="D10" s="205">
        <f>'Por Región'!O8</f>
        <v>244.59713599248002</v>
      </c>
      <c r="E10" s="206">
        <f>'Por Región'!P8</f>
        <v>241.32473147260021</v>
      </c>
      <c r="F10" s="207">
        <f>+E10/D10-1</f>
        <v>-1.337875239872155E-2</v>
      </c>
      <c r="G10" s="205">
        <f>'Por Región'!Q8</f>
        <v>2589.4639092462885</v>
      </c>
      <c r="H10" s="206">
        <f>'Por Región'!R8</f>
        <v>2815.0727701028495</v>
      </c>
      <c r="I10" s="207">
        <f>+H10/G10-1</f>
        <v>8.7125701984480886E-2</v>
      </c>
      <c r="J10" s="26"/>
      <c r="L10" s="151" t="s">
        <v>9</v>
      </c>
      <c r="M10" s="246">
        <f>E11</f>
        <v>4013.1479127431385</v>
      </c>
    </row>
    <row r="11" spans="2:13">
      <c r="C11" s="208" t="s">
        <v>9</v>
      </c>
      <c r="D11" s="209">
        <f>'Por Región'!O9</f>
        <v>3778.4342027668254</v>
      </c>
      <c r="E11" s="210">
        <f>'Por Región'!P9</f>
        <v>4013.1479127431385</v>
      </c>
      <c r="F11" s="211">
        <f>+E11/D11-1</f>
        <v>6.2119305876608744E-2</v>
      </c>
      <c r="G11" s="209">
        <f>'Por Región'!Q9</f>
        <v>36501.330912663761</v>
      </c>
      <c r="H11" s="210">
        <f>'Por Región'!R9</f>
        <v>38191.981523878567</v>
      </c>
      <c r="I11" s="211">
        <f>+H11/G11-1</f>
        <v>4.6317505935879577E-2</v>
      </c>
      <c r="J11" s="26"/>
      <c r="L11" s="151" t="s">
        <v>12</v>
      </c>
      <c r="M11" s="246">
        <f>E12</f>
        <v>507.69913837876658</v>
      </c>
    </row>
    <row r="12" spans="2:13">
      <c r="C12" s="208" t="s">
        <v>12</v>
      </c>
      <c r="D12" s="209">
        <f>'Por Región'!O10</f>
        <v>585.55086037188744</v>
      </c>
      <c r="E12" s="210">
        <f>'Por Región'!P10</f>
        <v>507.69913837876658</v>
      </c>
      <c r="F12" s="211">
        <f>+E12/D12-1</f>
        <v>-0.13295467099762548</v>
      </c>
      <c r="G12" s="209">
        <f>'Por Región'!Q10</f>
        <v>5558.4811089581899</v>
      </c>
      <c r="H12" s="210">
        <f>'Por Región'!R10</f>
        <v>5579.2531927509826</v>
      </c>
      <c r="I12" s="395">
        <f>+H12/G12-1</f>
        <v>3.7370071761719803E-3</v>
      </c>
      <c r="J12" s="26"/>
      <c r="L12" s="151" t="s">
        <v>10</v>
      </c>
      <c r="M12" s="246">
        <f>E10</f>
        <v>241.32473147260021</v>
      </c>
    </row>
    <row r="13" spans="2:13">
      <c r="C13" s="212" t="s">
        <v>11</v>
      </c>
      <c r="D13" s="213">
        <f>'Por Región'!O11</f>
        <v>91.097319733333322</v>
      </c>
      <c r="E13" s="214">
        <f>'Por Región'!P11</f>
        <v>70.311700444638689</v>
      </c>
      <c r="F13" s="215">
        <f>+E13/D13-1</f>
        <v>-0.22816938357286254</v>
      </c>
      <c r="G13" s="213">
        <f>'Por Región'!Q11</f>
        <v>762.45316246940104</v>
      </c>
      <c r="H13" s="214">
        <f>'Por Región'!R11</f>
        <v>679.75699104463843</v>
      </c>
      <c r="I13" s="215">
        <f>+H13/G13-1</f>
        <v>-0.10846065764476565</v>
      </c>
      <c r="J13" s="26"/>
      <c r="L13" s="151" t="s">
        <v>11</v>
      </c>
      <c r="M13" s="246">
        <f>E13</f>
        <v>70.311700444638689</v>
      </c>
    </row>
    <row r="14" spans="2:13" ht="13.5" thickBot="1">
      <c r="C14" s="218" t="s">
        <v>114</v>
      </c>
      <c r="D14" s="219">
        <f>SUM(D10:D13)</f>
        <v>4699.6795188645265</v>
      </c>
      <c r="E14" s="220">
        <f>SUM(E10:E13)</f>
        <v>4832.4834830391437</v>
      </c>
      <c r="F14" s="221">
        <f>+E14/D14-1</f>
        <v>2.8258089438129019E-2</v>
      </c>
      <c r="G14" s="219">
        <f>SUM(G10:G13)</f>
        <v>45411.729093337643</v>
      </c>
      <c r="H14" s="220">
        <f>SUM(H10:H13)</f>
        <v>47266.064477777043</v>
      </c>
      <c r="I14" s="221">
        <f>+H14/G14-1</f>
        <v>4.0833842301579493E-2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132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87" t="s">
        <v>95</v>
      </c>
      <c r="D18" s="387"/>
      <c r="E18" s="387"/>
      <c r="F18" s="387"/>
      <c r="G18" s="388" t="s">
        <v>113</v>
      </c>
      <c r="H18" s="389"/>
      <c r="I18" s="389"/>
      <c r="J18" s="389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4" t="s">
        <v>12</v>
      </c>
      <c r="R42" s="30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5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5" t="s">
        <v>12</v>
      </c>
      <c r="R44" s="19" t="s">
        <v>38</v>
      </c>
    </row>
    <row r="45" spans="3:26" ht="13.5" thickBot="1">
      <c r="C45" s="25"/>
      <c r="D45" s="19"/>
      <c r="E45" s="19"/>
      <c r="F45" s="19"/>
      <c r="G45" s="19"/>
      <c r="J45" s="19"/>
      <c r="Q45" s="36" t="s">
        <v>11</v>
      </c>
      <c r="R45" s="37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2">
      <c r="C49" s="25"/>
      <c r="D49" s="19"/>
      <c r="E49" s="19"/>
      <c r="F49" s="19"/>
      <c r="G49" s="19"/>
      <c r="H49" s="19"/>
      <c r="I49" s="19"/>
      <c r="J49" s="19"/>
    </row>
    <row r="50" spans="3:12">
      <c r="C50" s="25"/>
      <c r="D50" s="19"/>
      <c r="E50" s="19"/>
      <c r="F50" s="19"/>
      <c r="G50" s="19"/>
      <c r="H50" s="19"/>
      <c r="I50" s="19"/>
      <c r="J50" s="19"/>
    </row>
    <row r="51" spans="3:12">
      <c r="C51" s="25"/>
      <c r="D51" s="19"/>
      <c r="E51" s="19"/>
      <c r="F51" s="19"/>
      <c r="G51" s="19"/>
      <c r="H51" s="19"/>
      <c r="I51" s="19"/>
      <c r="J51" s="19"/>
    </row>
    <row r="52" spans="3:12">
      <c r="C52" s="25"/>
      <c r="D52" s="19"/>
      <c r="E52" s="19"/>
      <c r="F52" s="19"/>
      <c r="G52" s="19"/>
      <c r="H52" s="19"/>
      <c r="I52" s="38"/>
      <c r="J52" s="19"/>
    </row>
    <row r="53" spans="3:12" ht="13.5" thickBot="1">
      <c r="C53" s="222" t="s">
        <v>101</v>
      </c>
      <c r="D53" s="88"/>
      <c r="E53" s="88"/>
      <c r="F53" s="88"/>
      <c r="G53" s="88"/>
      <c r="H53" s="88"/>
      <c r="I53" s="38"/>
      <c r="J53" s="19"/>
    </row>
    <row r="54" spans="3:12">
      <c r="C54" s="383" t="s">
        <v>13</v>
      </c>
      <c r="D54" s="385" t="s">
        <v>131</v>
      </c>
      <c r="E54" s="386"/>
      <c r="F54" s="386"/>
      <c r="G54" s="386"/>
      <c r="H54" s="386"/>
      <c r="I54" s="19"/>
      <c r="J54" s="19"/>
    </row>
    <row r="55" spans="3:12">
      <c r="C55" s="384"/>
      <c r="D55" s="117" t="s">
        <v>14</v>
      </c>
      <c r="E55" s="118" t="s">
        <v>15</v>
      </c>
      <c r="F55" s="118" t="s">
        <v>5</v>
      </c>
      <c r="G55" s="118" t="s">
        <v>16</v>
      </c>
      <c r="H55" s="118" t="s">
        <v>72</v>
      </c>
      <c r="I55" s="19"/>
      <c r="J55" s="19"/>
    </row>
    <row r="56" spans="3:12">
      <c r="C56" s="223" t="s">
        <v>10</v>
      </c>
      <c r="D56" s="227">
        <f>Resumen!F14-PorZona!D58</f>
        <v>89.516532350000006</v>
      </c>
      <c r="E56" s="228">
        <v>68.763416934026282</v>
      </c>
      <c r="F56" s="228">
        <v>0</v>
      </c>
      <c r="G56" s="228">
        <v>83.044782188573919</v>
      </c>
      <c r="H56" s="228">
        <f>SUM(D56:G56)</f>
        <v>241.32473147260021</v>
      </c>
      <c r="I56" s="336"/>
      <c r="K56" s="329"/>
      <c r="L56" s="345"/>
    </row>
    <row r="57" spans="3:12">
      <c r="C57" s="224" t="s">
        <v>9</v>
      </c>
      <c r="D57" s="229">
        <v>0</v>
      </c>
      <c r="E57" s="230">
        <v>1843.3032087798588</v>
      </c>
      <c r="F57" s="230">
        <v>0</v>
      </c>
      <c r="G57" s="230">
        <v>2169.8447039632797</v>
      </c>
      <c r="H57" s="230">
        <f>SUM(D57:G57)</f>
        <v>4013.1479127431385</v>
      </c>
      <c r="I57" s="336"/>
      <c r="K57" s="329"/>
      <c r="L57" s="345"/>
    </row>
    <row r="58" spans="3:12">
      <c r="C58" s="224" t="s">
        <v>12</v>
      </c>
      <c r="D58" s="229">
        <v>72.626617170000003</v>
      </c>
      <c r="E58" s="230">
        <v>306.10811409340619</v>
      </c>
      <c r="F58" s="230">
        <f>Resumen!D15</f>
        <v>77.070130602500001</v>
      </c>
      <c r="G58" s="230">
        <v>51.894276512860415</v>
      </c>
      <c r="H58" s="230">
        <f>SUM(D58:G58)</f>
        <v>507.69913837876658</v>
      </c>
      <c r="I58" s="336"/>
      <c r="K58" s="329"/>
      <c r="L58" s="345"/>
    </row>
    <row r="59" spans="3:12">
      <c r="C59" s="225" t="s">
        <v>11</v>
      </c>
      <c r="D59" s="231">
        <v>0</v>
      </c>
      <c r="E59" s="232">
        <v>0</v>
      </c>
      <c r="F59" s="232">
        <v>0</v>
      </c>
      <c r="G59" s="232">
        <f>E13</f>
        <v>70.311700444638689</v>
      </c>
      <c r="H59" s="232">
        <f>SUM(D59:G59)</f>
        <v>70.311700444638689</v>
      </c>
      <c r="I59" s="276"/>
      <c r="K59" s="19"/>
      <c r="L59" s="345"/>
    </row>
    <row r="60" spans="3:12" ht="13.5" thickBot="1">
      <c r="C60" s="119" t="s">
        <v>114</v>
      </c>
      <c r="D60" s="233">
        <f>SUM(D56:D59)</f>
        <v>162.14314952000001</v>
      </c>
      <c r="E60" s="234">
        <f>SUM(E56:E59)</f>
        <v>2218.1747398072912</v>
      </c>
      <c r="F60" s="234">
        <f>SUM(F56:F59)</f>
        <v>77.070130602500001</v>
      </c>
      <c r="G60" s="234">
        <f>SUM(G56:G59)</f>
        <v>2375.0954631093527</v>
      </c>
      <c r="H60" s="234">
        <f>SUM(H56:H59)</f>
        <v>4832.4834830391437</v>
      </c>
      <c r="I60" s="19"/>
      <c r="J60" s="19"/>
    </row>
    <row r="61" spans="3:12" ht="6.75" customHeight="1">
      <c r="C61" s="19"/>
      <c r="D61" s="19"/>
      <c r="E61" s="19"/>
      <c r="F61" s="19"/>
      <c r="G61" s="19"/>
      <c r="H61" s="19"/>
      <c r="I61" s="19"/>
      <c r="J61" s="19"/>
    </row>
    <row r="62" spans="3:12">
      <c r="C62" s="19"/>
      <c r="D62" s="19"/>
      <c r="E62" s="19"/>
      <c r="F62" s="19"/>
      <c r="G62" s="19"/>
      <c r="H62" s="19"/>
      <c r="I62" s="19"/>
      <c r="J62" s="19"/>
    </row>
    <row r="63" spans="3:12">
      <c r="C63" s="19"/>
      <c r="D63" s="19"/>
      <c r="E63" s="19"/>
      <c r="F63" s="19"/>
      <c r="G63" s="19"/>
      <c r="H63" s="19"/>
      <c r="I63" s="19"/>
      <c r="J63" s="19"/>
    </row>
    <row r="64" spans="3:12">
      <c r="H64" s="126"/>
    </row>
    <row r="65" spans="5:5">
      <c r="E65" s="126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topLeftCell="A2" zoomScale="90" zoomScaleNormal="100" zoomScaleSheetLayoutView="90" workbookViewId="0">
      <selection activeCell="C3" sqref="C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7" width="11.7109375" style="20" customWidth="1"/>
    <col min="8" max="8" width="13.570312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4"/>
      <c r="L1" s="44"/>
      <c r="M1" s="45"/>
      <c r="N1" s="45"/>
      <c r="O1" s="45"/>
      <c r="P1" s="45"/>
      <c r="Q1" s="45"/>
      <c r="R1" s="45"/>
    </row>
    <row r="2" spans="3:19" ht="15">
      <c r="C2" s="23" t="s">
        <v>106</v>
      </c>
      <c r="D2" s="3"/>
      <c r="E2" s="23"/>
      <c r="F2" s="23"/>
      <c r="G2" s="23"/>
      <c r="H2" s="23"/>
      <c r="I2" s="23"/>
      <c r="J2" s="23"/>
      <c r="K2" s="4"/>
      <c r="L2" s="4"/>
      <c r="M2" s="46"/>
      <c r="N2" s="46"/>
      <c r="O2" s="46"/>
      <c r="P2" s="46"/>
      <c r="Q2" s="46"/>
      <c r="R2" s="46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6"/>
      <c r="N3" s="46"/>
      <c r="O3" s="46"/>
      <c r="P3" s="46"/>
      <c r="Q3" s="46"/>
      <c r="R3" s="46"/>
    </row>
    <row r="4" spans="3:19" ht="15">
      <c r="C4" s="10" t="s">
        <v>102</v>
      </c>
      <c r="D4" s="3"/>
      <c r="E4" s="23"/>
      <c r="F4" s="23"/>
      <c r="G4" s="23"/>
      <c r="H4" s="23"/>
      <c r="I4" s="23"/>
      <c r="J4" s="23"/>
      <c r="K4" s="4"/>
      <c r="L4" s="4"/>
      <c r="M4" s="46"/>
      <c r="N4" s="46"/>
      <c r="O4" s="46"/>
      <c r="P4" s="46"/>
      <c r="Q4" s="46"/>
      <c r="R4" s="46"/>
    </row>
    <row r="5" spans="3:19" ht="13.5" thickBot="1">
      <c r="C5"/>
      <c r="D5"/>
      <c r="E5"/>
      <c r="F5"/>
      <c r="G5"/>
    </row>
    <row r="6" spans="3:19" ht="12.75" customHeight="1">
      <c r="C6" s="111" t="s">
        <v>61</v>
      </c>
      <c r="D6" s="390" t="s">
        <v>126</v>
      </c>
      <c r="E6" s="391"/>
      <c r="F6" s="379" t="s">
        <v>75</v>
      </c>
      <c r="G6" s="392" t="s">
        <v>127</v>
      </c>
      <c r="H6" s="393"/>
      <c r="I6" s="379" t="s">
        <v>75</v>
      </c>
      <c r="O6" s="48"/>
      <c r="P6" s="87"/>
      <c r="Q6" s="394" t="s">
        <v>128</v>
      </c>
      <c r="R6" s="394"/>
    </row>
    <row r="7" spans="3:19" ht="12.75" customHeight="1">
      <c r="C7" s="112"/>
      <c r="D7" s="113">
        <v>2018</v>
      </c>
      <c r="E7" s="99">
        <v>2019</v>
      </c>
      <c r="F7" s="380"/>
      <c r="G7" s="253">
        <v>2018</v>
      </c>
      <c r="H7" s="99">
        <v>2019</v>
      </c>
      <c r="I7" s="380"/>
      <c r="N7" s="55"/>
      <c r="O7" s="342">
        <v>2018</v>
      </c>
      <c r="P7" s="344">
        <v>2019</v>
      </c>
      <c r="Q7" s="55">
        <v>2018</v>
      </c>
      <c r="R7" s="55">
        <v>2019</v>
      </c>
    </row>
    <row r="8" spans="3:19" ht="20.100000000000001" customHeight="1">
      <c r="C8" s="121" t="s">
        <v>17</v>
      </c>
      <c r="D8" s="235">
        <v>6.2003019999999998</v>
      </c>
      <c r="E8" s="302">
        <v>3.9697046774663112</v>
      </c>
      <c r="F8" s="237">
        <f>+E8/D8-1</f>
        <v>-0.35975623808867518</v>
      </c>
      <c r="G8" s="254">
        <v>55.856352000000001</v>
      </c>
      <c r="H8" s="302">
        <v>47.235879677466301</v>
      </c>
      <c r="I8" s="237">
        <f>+H8/G8-1</f>
        <v>-0.1543328916742307</v>
      </c>
      <c r="J8" s="26"/>
      <c r="K8" s="47"/>
      <c r="L8" s="47"/>
      <c r="N8" s="58" t="s">
        <v>10</v>
      </c>
      <c r="O8" s="72">
        <f>SUM(D8,D13,D20,D21,D27,D29,D31)</f>
        <v>244.59713599248002</v>
      </c>
      <c r="P8" s="72">
        <f t="shared" ref="P8" si="0">SUM(E8,E13,E20,E21,E27,E29,E31)</f>
        <v>241.32473147260021</v>
      </c>
      <c r="Q8" s="72">
        <f>SUM(G8,G13,G20,G21,G27,G29,G31)</f>
        <v>2589.4639092462885</v>
      </c>
      <c r="R8" s="72">
        <f>SUM(H8,H13,H20,H21,H27,H29,H31)</f>
        <v>2815.0727701028495</v>
      </c>
    </row>
    <row r="9" spans="3:19" ht="20.100000000000001" customHeight="1">
      <c r="C9" s="122" t="s">
        <v>18</v>
      </c>
      <c r="D9" s="236">
        <v>150.37560370000003</v>
      </c>
      <c r="E9" s="303">
        <v>106.73396537442947</v>
      </c>
      <c r="F9" s="238">
        <f t="shared" ref="F9:F32" si="1">+E9/D9-1</f>
        <v>-0.29021754361589003</v>
      </c>
      <c r="G9" s="255">
        <v>1780.9695211196279</v>
      </c>
      <c r="H9" s="303">
        <v>1776.1369838244293</v>
      </c>
      <c r="I9" s="318">
        <f t="shared" ref="I9:I32" si="2">+H9/G9-1</f>
        <v>-2.7134306555457455E-3</v>
      </c>
      <c r="J9" s="26"/>
      <c r="K9" s="47"/>
      <c r="L9" s="47"/>
      <c r="N9" s="58" t="s">
        <v>9</v>
      </c>
      <c r="O9" s="342">
        <f>SUM(D9,D14,D16,D17,D19,D22,D26,D32)</f>
        <v>3778.4342027668254</v>
      </c>
      <c r="P9" s="342">
        <f>SUM(E9,E14,E16,E17,E19,E22,E26,E32)</f>
        <v>4013.1479127431385</v>
      </c>
      <c r="Q9" s="342">
        <f>SUM(G9,G14,G16,G17,G19,G22,G26,G32)</f>
        <v>36501.330912663761</v>
      </c>
      <c r="R9" s="342">
        <f>SUM(H9,H14,H16,H17,H19,H22,H26,H32)</f>
        <v>38191.981523878567</v>
      </c>
    </row>
    <row r="10" spans="3:19" ht="20.100000000000001" customHeight="1">
      <c r="C10" s="123" t="s">
        <v>19</v>
      </c>
      <c r="D10" s="236">
        <v>3.2400340698278778</v>
      </c>
      <c r="E10" s="303">
        <v>2.7472436341827979</v>
      </c>
      <c r="F10" s="238">
        <f t="shared" si="1"/>
        <v>-0.1520942141424021</v>
      </c>
      <c r="G10" s="255">
        <v>39.645349038281232</v>
      </c>
      <c r="H10" s="303">
        <v>35.865821191045043</v>
      </c>
      <c r="I10" s="238">
        <f t="shared" si="2"/>
        <v>-9.5333448662205167E-2</v>
      </c>
      <c r="J10" s="26"/>
      <c r="K10" s="47"/>
      <c r="L10" s="47"/>
      <c r="N10" s="55" t="s">
        <v>12</v>
      </c>
      <c r="O10" s="342">
        <f>SUM(D10,D11,D12,D15,D18,D24,D25,D28,D30)</f>
        <v>585.55086037188744</v>
      </c>
      <c r="P10" s="342">
        <f t="shared" ref="P10" si="3">SUM(E10,E11,E12,E15,E18,E24,E25,E28,E30)</f>
        <v>507.69913837876658</v>
      </c>
      <c r="Q10" s="342">
        <f>SUM(G10,G11,G12,G15,G18,G24,G25,G28,G30)</f>
        <v>5558.4811089581899</v>
      </c>
      <c r="R10" s="342">
        <f>SUM(H10,H11,H12,H15,H18,H24,H25,H28,H30)</f>
        <v>5579.2531927509826</v>
      </c>
    </row>
    <row r="11" spans="3:19" ht="20.100000000000001" customHeight="1">
      <c r="C11" s="122" t="s">
        <v>20</v>
      </c>
      <c r="D11" s="236">
        <v>99.156269896128805</v>
      </c>
      <c r="E11" s="303">
        <v>94.925243505622319</v>
      </c>
      <c r="F11" s="318">
        <f t="shared" si="1"/>
        <v>-4.2670285953058773E-2</v>
      </c>
      <c r="G11" s="255">
        <v>1032.3909534274082</v>
      </c>
      <c r="H11" s="303">
        <v>996.60267125400583</v>
      </c>
      <c r="I11" s="238">
        <f t="shared" si="2"/>
        <v>-3.4665435661354715E-2</v>
      </c>
      <c r="J11" s="26"/>
      <c r="K11" s="47"/>
      <c r="L11" s="47"/>
      <c r="N11" s="343" t="s">
        <v>11</v>
      </c>
      <c r="O11" s="72">
        <f>D23</f>
        <v>91.097319733333322</v>
      </c>
      <c r="P11" s="72">
        <f t="shared" ref="P11" si="4">E23</f>
        <v>70.311700444638689</v>
      </c>
      <c r="Q11" s="72">
        <f>G23</f>
        <v>762.45316246940104</v>
      </c>
      <c r="R11" s="72">
        <f>H23</f>
        <v>679.75699104463843</v>
      </c>
    </row>
    <row r="12" spans="3:19" ht="20.100000000000001" customHeight="1">
      <c r="C12" s="122" t="s">
        <v>21</v>
      </c>
      <c r="D12" s="236">
        <v>0.91341885426416125</v>
      </c>
      <c r="E12" s="303">
        <v>0.94364194846204663</v>
      </c>
      <c r="F12" s="238">
        <f t="shared" si="1"/>
        <v>3.3087880830128924E-2</v>
      </c>
      <c r="G12" s="255">
        <v>13.488449533334853</v>
      </c>
      <c r="H12" s="303">
        <v>7.772517512933149</v>
      </c>
      <c r="I12" s="238">
        <f t="shared" si="2"/>
        <v>-0.4237649409797295</v>
      </c>
      <c r="J12" s="26"/>
      <c r="K12" s="47"/>
      <c r="L12" s="47"/>
      <c r="N12" s="8"/>
      <c r="O12" s="48"/>
      <c r="P12" s="87"/>
      <c r="Q12" s="48"/>
      <c r="R12" s="48"/>
      <c r="S12" s="48"/>
    </row>
    <row r="13" spans="3:19" ht="20.100000000000001" customHeight="1">
      <c r="C13" s="122" t="s">
        <v>22</v>
      </c>
      <c r="D13" s="236">
        <v>52.181479488733316</v>
      </c>
      <c r="E13" s="303">
        <v>40.252705698501018</v>
      </c>
      <c r="F13" s="238">
        <f t="shared" si="1"/>
        <v>-0.22860167835616618</v>
      </c>
      <c r="G13" s="255">
        <v>802.10754220350998</v>
      </c>
      <c r="H13" s="303">
        <v>881.8304707516495</v>
      </c>
      <c r="I13" s="238">
        <f t="shared" si="2"/>
        <v>9.9391820115702467E-2</v>
      </c>
      <c r="J13" s="26"/>
      <c r="K13" s="47"/>
      <c r="L13" s="47"/>
      <c r="O13" s="48"/>
      <c r="P13" s="87"/>
      <c r="Q13" s="48"/>
      <c r="R13" s="48"/>
      <c r="S13" s="48"/>
    </row>
    <row r="14" spans="3:19" ht="20.100000000000001" customHeight="1">
      <c r="C14" s="122" t="s">
        <v>60</v>
      </c>
      <c r="D14" s="236">
        <v>319.5284076324391</v>
      </c>
      <c r="E14" s="303">
        <v>340.24838223037358</v>
      </c>
      <c r="F14" s="238">
        <f t="shared" si="1"/>
        <v>6.4845485105565759E-2</v>
      </c>
      <c r="G14" s="255">
        <v>2800.6914203377182</v>
      </c>
      <c r="H14" s="303">
        <v>2856.0817398406707</v>
      </c>
      <c r="I14" s="238">
        <f t="shared" si="2"/>
        <v>1.9777373223171191E-2</v>
      </c>
      <c r="J14" s="19"/>
      <c r="K14" s="47"/>
      <c r="L14" s="47"/>
      <c r="O14" s="48"/>
      <c r="P14" s="87"/>
      <c r="Q14" s="48"/>
      <c r="R14" s="48"/>
      <c r="S14" s="48"/>
    </row>
    <row r="15" spans="3:19" ht="20.100000000000001" customHeight="1">
      <c r="C15" s="122" t="s">
        <v>23</v>
      </c>
      <c r="D15" s="236">
        <v>179.47601306666667</v>
      </c>
      <c r="E15" s="303">
        <v>130.55784547614789</v>
      </c>
      <c r="F15" s="238">
        <f t="shared" si="1"/>
        <v>-0.27256103339195548</v>
      </c>
      <c r="G15" s="255">
        <v>1744.9529836666666</v>
      </c>
      <c r="H15" s="303">
        <v>1677.774724638648</v>
      </c>
      <c r="I15" s="318">
        <f t="shared" si="2"/>
        <v>-3.8498606929143198E-2</v>
      </c>
      <c r="J15" s="19"/>
      <c r="K15" s="47"/>
      <c r="L15" s="47"/>
      <c r="O15" s="48"/>
      <c r="P15" s="87"/>
      <c r="Q15" s="48"/>
      <c r="R15" s="48"/>
      <c r="S15" s="48"/>
    </row>
    <row r="16" spans="3:19" ht="20.100000000000001" customHeight="1">
      <c r="C16" s="122" t="s">
        <v>24</v>
      </c>
      <c r="D16" s="236">
        <v>899.74993200000006</v>
      </c>
      <c r="E16" s="303">
        <v>809.02456917476843</v>
      </c>
      <c r="F16" s="238">
        <f t="shared" si="1"/>
        <v>-0.10083397575097741</v>
      </c>
      <c r="G16" s="255">
        <v>8650.5910250281249</v>
      </c>
      <c r="H16" s="303">
        <v>8511.3275598036325</v>
      </c>
      <c r="I16" s="334">
        <f t="shared" si="2"/>
        <v>-1.609872259844114E-2</v>
      </c>
      <c r="J16" s="19"/>
      <c r="K16" s="47"/>
      <c r="L16" s="47"/>
      <c r="N16" s="8"/>
      <c r="O16" s="48"/>
      <c r="P16" s="87"/>
      <c r="Q16" s="48"/>
      <c r="R16" s="48"/>
      <c r="S16" s="48"/>
    </row>
    <row r="17" spans="3:19" ht="20.100000000000001" customHeight="1">
      <c r="C17" s="122" t="s">
        <v>25</v>
      </c>
      <c r="D17" s="236">
        <v>223.51597713333334</v>
      </c>
      <c r="E17" s="303">
        <v>65.541432432564534</v>
      </c>
      <c r="F17" s="238">
        <f t="shared" si="1"/>
        <v>-0.70677070483660642</v>
      </c>
      <c r="G17" s="255">
        <v>2105.9644764134887</v>
      </c>
      <c r="H17" s="303">
        <v>1895.6539472700647</v>
      </c>
      <c r="I17" s="318">
        <f t="shared" si="2"/>
        <v>-9.9864233940730185E-2</v>
      </c>
      <c r="J17" s="19"/>
      <c r="K17" s="47"/>
      <c r="L17" s="47"/>
      <c r="M17" s="8"/>
      <c r="N17" s="8"/>
      <c r="O17" s="48"/>
      <c r="P17" s="87"/>
      <c r="Q17" s="48"/>
      <c r="R17" s="48"/>
      <c r="S17" s="48"/>
    </row>
    <row r="18" spans="3:19" ht="20.100000000000001" customHeight="1">
      <c r="C18" s="122" t="s">
        <v>26</v>
      </c>
      <c r="D18" s="236">
        <v>147.52506106666667</v>
      </c>
      <c r="E18" s="303">
        <v>138.06460597335231</v>
      </c>
      <c r="F18" s="238">
        <f t="shared" si="1"/>
        <v>-6.4127782933363187E-2</v>
      </c>
      <c r="G18" s="255">
        <v>1294.4760736666667</v>
      </c>
      <c r="H18" s="303">
        <v>1405.1870390508523</v>
      </c>
      <c r="I18" s="238">
        <f t="shared" si="2"/>
        <v>8.5525694631489957E-2</v>
      </c>
      <c r="J18" s="19"/>
      <c r="K18" s="47"/>
      <c r="L18" s="47"/>
      <c r="O18" s="48"/>
      <c r="P18" s="87"/>
      <c r="Q18" s="48"/>
      <c r="R18" s="48"/>
      <c r="S18" s="48"/>
    </row>
    <row r="19" spans="3:19" ht="20.100000000000001" customHeight="1">
      <c r="C19" s="122" t="s">
        <v>27</v>
      </c>
      <c r="D19" s="236">
        <v>278.99964646666666</v>
      </c>
      <c r="E19" s="303">
        <v>174.25210108185726</v>
      </c>
      <c r="F19" s="238">
        <f t="shared" si="1"/>
        <v>-0.37543970650630931</v>
      </c>
      <c r="G19" s="255">
        <v>2661.6959741666669</v>
      </c>
      <c r="H19" s="303">
        <v>2325.5386826668578</v>
      </c>
      <c r="I19" s="318">
        <f t="shared" si="2"/>
        <v>-0.12629439829432598</v>
      </c>
      <c r="J19" s="19"/>
      <c r="K19" s="47"/>
      <c r="L19" s="47"/>
      <c r="M19" s="8"/>
      <c r="N19" s="8"/>
      <c r="P19" s="12"/>
      <c r="Q19" s="48"/>
      <c r="R19" s="48"/>
      <c r="S19" s="48"/>
    </row>
    <row r="20" spans="3:19" ht="20.100000000000001" customHeight="1">
      <c r="C20" s="122" t="s">
        <v>28</v>
      </c>
      <c r="D20" s="236">
        <v>55.825142972074694</v>
      </c>
      <c r="E20" s="303">
        <v>59.270768337156689</v>
      </c>
      <c r="F20" s="238">
        <f t="shared" si="1"/>
        <v>6.1721747256529014E-2</v>
      </c>
      <c r="G20" s="255">
        <v>547.0193595397775</v>
      </c>
      <c r="H20" s="303">
        <v>593.81242829920916</v>
      </c>
      <c r="I20" s="238">
        <f t="shared" si="2"/>
        <v>8.5541887948536122E-2</v>
      </c>
      <c r="J20" s="19"/>
      <c r="K20" s="47"/>
      <c r="L20" s="47"/>
      <c r="O20" s="48"/>
      <c r="P20" s="87"/>
      <c r="Q20" s="48"/>
      <c r="R20" s="48"/>
      <c r="S20" s="48"/>
    </row>
    <row r="21" spans="3:19" ht="20.100000000000001" customHeight="1">
      <c r="C21" s="122" t="s">
        <v>29</v>
      </c>
      <c r="D21" s="236">
        <v>5.024980516666667</v>
      </c>
      <c r="E21" s="303">
        <v>4.8944407055527899</v>
      </c>
      <c r="F21" s="238">
        <f t="shared" si="1"/>
        <v>-2.5978172588114079E-2</v>
      </c>
      <c r="G21" s="255">
        <v>51.720680666666681</v>
      </c>
      <c r="H21" s="303">
        <v>50.579635270552792</v>
      </c>
      <c r="I21" s="238">
        <f t="shared" si="2"/>
        <v>-2.2061685604406134E-2</v>
      </c>
      <c r="J21" s="26"/>
      <c r="K21" s="47"/>
      <c r="L21" s="47"/>
      <c r="O21" s="48"/>
      <c r="P21" s="87"/>
      <c r="Q21" s="48"/>
      <c r="R21" s="48"/>
      <c r="S21" s="48"/>
    </row>
    <row r="22" spans="3:19" ht="20.100000000000001" customHeight="1">
      <c r="C22" s="122" t="s">
        <v>30</v>
      </c>
      <c r="D22" s="236">
        <v>1802.2720645010525</v>
      </c>
      <c r="E22" s="303">
        <v>2412.082805175336</v>
      </c>
      <c r="F22" s="238">
        <f t="shared" si="1"/>
        <v>0.33835665140995563</v>
      </c>
      <c r="G22" s="255">
        <v>17322.9846732648</v>
      </c>
      <c r="H22" s="303">
        <v>19724.288198717724</v>
      </c>
      <c r="I22" s="238">
        <f t="shared" si="2"/>
        <v>0.13861950297508163</v>
      </c>
      <c r="J22" s="26"/>
      <c r="K22" s="47"/>
      <c r="L22" s="47"/>
      <c r="O22" s="48"/>
      <c r="P22" s="87"/>
      <c r="Q22" s="48"/>
      <c r="R22" s="48"/>
      <c r="S22" s="48"/>
    </row>
    <row r="23" spans="3:19" ht="20.100000000000001" customHeight="1">
      <c r="C23" s="122" t="s">
        <v>31</v>
      </c>
      <c r="D23" s="236">
        <v>91.097319733333322</v>
      </c>
      <c r="E23" s="303">
        <v>70.311700444638689</v>
      </c>
      <c r="F23" s="238">
        <f t="shared" si="1"/>
        <v>-0.22816938357286254</v>
      </c>
      <c r="G23" s="255">
        <v>762.45316246940104</v>
      </c>
      <c r="H23" s="303">
        <v>679.75699104463843</v>
      </c>
      <c r="I23" s="238">
        <f t="shared" si="2"/>
        <v>-0.10846065764476565</v>
      </c>
      <c r="J23" s="26"/>
      <c r="K23" s="47"/>
      <c r="L23" s="47"/>
      <c r="M23" s="8"/>
      <c r="O23" s="48"/>
      <c r="P23" s="48"/>
      <c r="Q23" s="48"/>
      <c r="R23" s="48"/>
      <c r="S23" s="48"/>
    </row>
    <row r="24" spans="3:19" ht="20.100000000000001" customHeight="1">
      <c r="C24" s="122" t="s">
        <v>32</v>
      </c>
      <c r="D24" s="236">
        <v>0.14846800000000002</v>
      </c>
      <c r="E24" s="335">
        <v>0.15496225791808549</v>
      </c>
      <c r="F24" s="238">
        <f t="shared" si="1"/>
        <v>4.3741802395704577E-2</v>
      </c>
      <c r="G24" s="255">
        <v>1.6869240000000005</v>
      </c>
      <c r="H24" s="303">
        <v>1.4970973054180856</v>
      </c>
      <c r="I24" s="238">
        <f t="shared" si="2"/>
        <v>-0.11252830274624992</v>
      </c>
      <c r="J24" s="26"/>
      <c r="K24" s="47"/>
      <c r="L24" s="47"/>
      <c r="O24" s="48"/>
      <c r="P24" s="87"/>
      <c r="Q24" s="48"/>
      <c r="R24" s="48"/>
      <c r="S24" s="48"/>
    </row>
    <row r="25" spans="3:19" ht="20.100000000000001" customHeight="1">
      <c r="C25" s="122" t="s">
        <v>33</v>
      </c>
      <c r="D25" s="236">
        <v>67.062167333333335</v>
      </c>
      <c r="E25" s="303">
        <v>66.628511361244122</v>
      </c>
      <c r="F25" s="238">
        <f t="shared" si="1"/>
        <v>-6.4664771410342103E-3</v>
      </c>
      <c r="G25" s="255">
        <v>585.53208333333328</v>
      </c>
      <c r="H25" s="303">
        <v>560.80743149374405</v>
      </c>
      <c r="I25" s="238">
        <f t="shared" si="2"/>
        <v>-4.2225955747524635E-2</v>
      </c>
      <c r="J25" s="26"/>
      <c r="K25" s="47"/>
      <c r="L25" s="47"/>
      <c r="N25" s="8"/>
      <c r="P25" s="12"/>
      <c r="Q25" s="48"/>
      <c r="R25" s="48"/>
      <c r="S25" s="48"/>
    </row>
    <row r="26" spans="3:19" ht="20.100000000000001" customHeight="1">
      <c r="C26" s="122" t="s">
        <v>34</v>
      </c>
      <c r="D26" s="236">
        <v>88.049929999999989</v>
      </c>
      <c r="E26" s="303">
        <v>57.256874279181197</v>
      </c>
      <c r="F26" s="238">
        <f t="shared" si="1"/>
        <v>-0.3497226598683133</v>
      </c>
      <c r="G26" s="255">
        <v>811.01608399999998</v>
      </c>
      <c r="H26" s="303">
        <v>782.84509838555618</v>
      </c>
      <c r="I26" s="238">
        <f t="shared" si="2"/>
        <v>-3.4735421615194273E-2</v>
      </c>
      <c r="J26" s="26"/>
      <c r="K26" s="47"/>
      <c r="L26" s="47"/>
      <c r="O26" s="48"/>
      <c r="P26" s="87"/>
      <c r="Q26" s="48"/>
      <c r="R26" s="48"/>
      <c r="S26" s="48"/>
    </row>
    <row r="27" spans="3:19" ht="20.100000000000001" customHeight="1">
      <c r="C27" s="122" t="s">
        <v>35</v>
      </c>
      <c r="D27" s="236">
        <v>118.82539001500535</v>
      </c>
      <c r="E27" s="303">
        <v>129.68383802256693</v>
      </c>
      <c r="F27" s="238">
        <f t="shared" si="1"/>
        <v>9.1381547379649763E-2</v>
      </c>
      <c r="G27" s="255">
        <v>1077.2937338363342</v>
      </c>
      <c r="H27" s="303">
        <v>1190.958381337615</v>
      </c>
      <c r="I27" s="238">
        <f t="shared" si="2"/>
        <v>0.10550942972304433</v>
      </c>
      <c r="J27" s="26"/>
      <c r="K27" s="47"/>
      <c r="L27" s="47"/>
      <c r="M27" s="8"/>
      <c r="N27" s="8"/>
      <c r="O27" s="48"/>
      <c r="P27" s="87"/>
      <c r="Q27" s="48"/>
      <c r="R27" s="48"/>
      <c r="S27" s="48"/>
    </row>
    <row r="28" spans="3:19" ht="20.100000000000001" customHeight="1">
      <c r="C28" s="122" t="s">
        <v>36</v>
      </c>
      <c r="D28" s="236">
        <v>74.55482308500001</v>
      </c>
      <c r="E28" s="303">
        <v>60.834373883982657</v>
      </c>
      <c r="F28" s="238">
        <f t="shared" si="1"/>
        <v>-0.18403167807634202</v>
      </c>
      <c r="G28" s="255">
        <v>714.4227212925</v>
      </c>
      <c r="H28" s="303">
        <v>768.57276280148278</v>
      </c>
      <c r="I28" s="238">
        <f t="shared" si="2"/>
        <v>7.5795519788364407E-2</v>
      </c>
      <c r="J28" s="26"/>
      <c r="K28" s="47"/>
      <c r="L28" s="47"/>
      <c r="N28" s="8"/>
      <c r="P28" s="12"/>
      <c r="Q28" s="48"/>
      <c r="R28" s="48"/>
      <c r="S28" s="48"/>
    </row>
    <row r="29" spans="3:19" ht="20.100000000000001" customHeight="1">
      <c r="C29" s="122" t="s">
        <v>37</v>
      </c>
      <c r="D29" s="236">
        <v>5.412839</v>
      </c>
      <c r="E29" s="335">
        <v>2.0686587912713126</v>
      </c>
      <c r="F29" s="238">
        <f t="shared" si="1"/>
        <v>-0.61782369819769023</v>
      </c>
      <c r="G29" s="255">
        <v>41.998742</v>
      </c>
      <c r="H29" s="303">
        <v>39.339545791271306</v>
      </c>
      <c r="I29" s="318">
        <f t="shared" si="2"/>
        <v>-6.3316091913626749E-2</v>
      </c>
      <c r="J29" s="26"/>
      <c r="K29" s="47"/>
      <c r="L29" s="47"/>
      <c r="O29" s="48"/>
      <c r="P29" s="87"/>
      <c r="Q29" s="48"/>
      <c r="R29" s="48"/>
      <c r="S29" s="48"/>
    </row>
    <row r="30" spans="3:19" ht="20.100000000000001" customHeight="1">
      <c r="C30" s="122" t="s">
        <v>38</v>
      </c>
      <c r="D30" s="236">
        <v>13.474605</v>
      </c>
      <c r="E30" s="303">
        <v>12.842710337854349</v>
      </c>
      <c r="F30" s="238">
        <f t="shared" si="1"/>
        <v>-4.6895227143626927E-2</v>
      </c>
      <c r="G30" s="255">
        <v>131.885571</v>
      </c>
      <c r="H30" s="303">
        <v>125.17312750285436</v>
      </c>
      <c r="I30" s="238">
        <f t="shared" si="2"/>
        <v>-5.0895965693970036E-2</v>
      </c>
      <c r="J30" s="26"/>
      <c r="K30" s="47"/>
      <c r="L30" s="47"/>
      <c r="N30" s="8"/>
      <c r="P30" s="12"/>
      <c r="Q30" s="48"/>
      <c r="R30" s="48"/>
      <c r="S30" s="48"/>
    </row>
    <row r="31" spans="3:19" ht="20.100000000000001" customHeight="1">
      <c r="C31" s="122" t="s">
        <v>39</v>
      </c>
      <c r="D31" s="236">
        <v>1.1270020000000003</v>
      </c>
      <c r="E31" s="303">
        <v>1.1846152400851391</v>
      </c>
      <c r="F31" s="238">
        <f>+E31/D31-1</f>
        <v>5.1120796666854984E-2</v>
      </c>
      <c r="G31" s="255">
        <v>13.467499000000004</v>
      </c>
      <c r="H31" s="303">
        <v>11.316428975085142</v>
      </c>
      <c r="I31" s="238">
        <f t="shared" si="2"/>
        <v>-0.15972305065067105</v>
      </c>
      <c r="J31" s="26"/>
      <c r="K31" s="47"/>
      <c r="L31" s="47"/>
      <c r="P31" s="12"/>
      <c r="Q31" s="48"/>
      <c r="R31" s="48"/>
      <c r="S31" s="48"/>
    </row>
    <row r="32" spans="3:19" ht="20.100000000000001" customHeight="1">
      <c r="C32" s="124" t="s">
        <v>40</v>
      </c>
      <c r="D32" s="226">
        <v>15.942641333333333</v>
      </c>
      <c r="E32" s="304">
        <v>48.007782994627881</v>
      </c>
      <c r="F32" s="239">
        <f t="shared" si="1"/>
        <v>2.0112816308707786</v>
      </c>
      <c r="G32" s="256">
        <v>367.41773833333332</v>
      </c>
      <c r="H32" s="304">
        <v>320.1093133696279</v>
      </c>
      <c r="I32" s="239">
        <f t="shared" si="2"/>
        <v>-0.12875922969398301</v>
      </c>
      <c r="J32" s="26"/>
      <c r="K32" s="47"/>
      <c r="L32" s="47"/>
      <c r="M32" s="8"/>
      <c r="N32" s="8"/>
      <c r="O32" s="48"/>
      <c r="P32" s="87"/>
      <c r="Q32" s="48"/>
      <c r="R32" s="48"/>
      <c r="S32" s="48"/>
    </row>
    <row r="33" spans="3:19" ht="16.5" customHeight="1" thickBot="1">
      <c r="C33" s="114" t="s">
        <v>114</v>
      </c>
      <c r="D33" s="115">
        <f>SUM(D8:D32)</f>
        <v>4699.6795188645265</v>
      </c>
      <c r="E33" s="305">
        <f>SUM(E8:E32)</f>
        <v>4832.4834830391437</v>
      </c>
      <c r="F33" s="120">
        <f>+E33/D33-1</f>
        <v>2.8258089438129019E-2</v>
      </c>
      <c r="G33" s="257">
        <f>SUM(G8:G32)</f>
        <v>45411.729093337643</v>
      </c>
      <c r="H33" s="305">
        <f>SUM(H8:H32)</f>
        <v>47266.064477777036</v>
      </c>
      <c r="I33" s="258">
        <f>+H33/G33-1</f>
        <v>4.0833842301579271E-2</v>
      </c>
      <c r="J33" s="26"/>
      <c r="K33" s="49"/>
      <c r="L33" s="8"/>
      <c r="N33" s="50"/>
      <c r="O33" s="48"/>
      <c r="P33" s="48"/>
      <c r="Q33" s="48"/>
      <c r="R33" s="48"/>
      <c r="S33" s="48"/>
    </row>
    <row r="34" spans="3:19">
      <c r="C34"/>
      <c r="D34"/>
      <c r="E34"/>
      <c r="F34"/>
      <c r="G34"/>
      <c r="J34" s="26"/>
      <c r="K34" s="49"/>
      <c r="L34" s="8"/>
      <c r="N34" s="50"/>
      <c r="O34" s="48"/>
      <c r="P34" s="48"/>
      <c r="Q34" s="48"/>
      <c r="R34" s="48"/>
      <c r="S34" s="48"/>
    </row>
    <row r="35" spans="3:19">
      <c r="C35"/>
      <c r="D35"/>
      <c r="E35"/>
      <c r="F35"/>
      <c r="G35"/>
      <c r="H35" s="26"/>
      <c r="I35" s="26"/>
      <c r="J35" s="26"/>
      <c r="K35" s="49"/>
      <c r="L35" s="8"/>
      <c r="O35" s="48"/>
      <c r="P35" s="48"/>
      <c r="Q35" s="48"/>
      <c r="R35" s="48"/>
      <c r="S35" s="48"/>
    </row>
    <row r="36" spans="3:19">
      <c r="C36" s="27" t="s">
        <v>129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0"/>
      <c r="O36" s="48"/>
      <c r="P36" s="48"/>
      <c r="Q36" s="48"/>
      <c r="R36" s="48"/>
      <c r="S36" s="48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8"/>
      <c r="P37" s="48"/>
      <c r="Q37" s="48"/>
      <c r="R37" s="48"/>
      <c r="S37" s="48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8"/>
      <c r="P38" s="48"/>
      <c r="Q38" s="48"/>
      <c r="R38" s="48"/>
      <c r="S38" s="48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8"/>
      <c r="P39" s="48"/>
      <c r="Q39" s="48"/>
      <c r="R39" s="48"/>
      <c r="S39" s="48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1" t="s">
        <v>43</v>
      </c>
      <c r="O43" s="51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2" t="s">
        <v>30</v>
      </c>
      <c r="O44" s="53">
        <v>2412.082805175336</v>
      </c>
      <c r="P44" s="8"/>
      <c r="S44" s="92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1" t="s">
        <v>24</v>
      </c>
      <c r="O45" s="54">
        <v>809.02456917476843</v>
      </c>
      <c r="P45" s="8"/>
      <c r="S45" s="92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1" t="s">
        <v>60</v>
      </c>
      <c r="O46" s="54">
        <v>340.24838223037358</v>
      </c>
      <c r="P46" s="8"/>
      <c r="S46" s="92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2" t="s">
        <v>27</v>
      </c>
      <c r="O47" s="53">
        <v>174.25210108185726</v>
      </c>
      <c r="P47" s="8"/>
      <c r="S47" s="92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1" t="s">
        <v>26</v>
      </c>
      <c r="O48" s="54">
        <v>138.06460597335231</v>
      </c>
      <c r="P48" s="8"/>
      <c r="S48" s="92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1" t="s">
        <v>23</v>
      </c>
      <c r="O49" s="54">
        <v>130.55784547614789</v>
      </c>
      <c r="P49" s="8"/>
      <c r="S49" s="92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2" t="s">
        <v>35</v>
      </c>
      <c r="O50" s="53">
        <v>129.68383802256693</v>
      </c>
      <c r="P50" s="8"/>
      <c r="S50" s="92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1" t="s">
        <v>18</v>
      </c>
      <c r="O51" s="54">
        <v>106.73396537442947</v>
      </c>
      <c r="P51" s="8"/>
      <c r="S51" s="92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1" t="s">
        <v>20</v>
      </c>
      <c r="O52" s="54">
        <v>94.925243505622319</v>
      </c>
      <c r="P52" s="8"/>
      <c r="S52" s="92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1" t="s">
        <v>31</v>
      </c>
      <c r="O53" s="54">
        <v>70.311700444638689</v>
      </c>
      <c r="P53" s="8"/>
      <c r="S53" s="92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1" t="s">
        <v>33</v>
      </c>
      <c r="O54" s="54">
        <v>66.628511361244122</v>
      </c>
      <c r="P54" s="8"/>
      <c r="S54" s="92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2" t="s">
        <v>25</v>
      </c>
      <c r="O55" s="53">
        <v>65.541432432564534</v>
      </c>
      <c r="P55" s="8"/>
      <c r="S55" s="92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1" t="s">
        <v>36</v>
      </c>
      <c r="O56" s="54">
        <v>60.834373883982657</v>
      </c>
      <c r="P56" s="8"/>
      <c r="S56" s="92"/>
    </row>
    <row r="57" spans="3:19">
      <c r="N57" s="52" t="s">
        <v>28</v>
      </c>
      <c r="O57" s="53">
        <v>59.270768337156689</v>
      </c>
      <c r="S57" s="92"/>
    </row>
    <row r="58" spans="3:19">
      <c r="N58" s="52" t="s">
        <v>34</v>
      </c>
      <c r="O58" s="53">
        <v>57.256874279181197</v>
      </c>
      <c r="S58" s="92"/>
    </row>
    <row r="59" spans="3:19">
      <c r="N59" s="52" t="s">
        <v>40</v>
      </c>
      <c r="O59" s="53">
        <v>48.007782994627881</v>
      </c>
      <c r="S59" s="92"/>
    </row>
    <row r="60" spans="3:19">
      <c r="N60" s="52" t="s">
        <v>22</v>
      </c>
      <c r="O60" s="53">
        <v>40.252705698501018</v>
      </c>
      <c r="S60" s="92"/>
    </row>
    <row r="61" spans="3:19">
      <c r="N61" s="52" t="s">
        <v>38</v>
      </c>
      <c r="O61" s="53">
        <v>12.842710337854349</v>
      </c>
      <c r="S61" s="92"/>
    </row>
    <row r="62" spans="3:19">
      <c r="N62" s="52" t="s">
        <v>29</v>
      </c>
      <c r="O62" s="53">
        <v>4.8944407055527899</v>
      </c>
      <c r="S62" s="92"/>
    </row>
    <row r="63" spans="3:19">
      <c r="N63" s="51" t="s">
        <v>17</v>
      </c>
      <c r="O63" s="54">
        <v>3.9697046774663112</v>
      </c>
      <c r="S63" s="92"/>
    </row>
    <row r="64" spans="3:19">
      <c r="N64" s="51" t="s">
        <v>19</v>
      </c>
      <c r="O64" s="54">
        <v>2.7472436341827979</v>
      </c>
      <c r="S64" s="92"/>
    </row>
    <row r="65" spans="6:19">
      <c r="N65" s="51" t="s">
        <v>37</v>
      </c>
      <c r="O65" s="54">
        <v>2.0686587912713126</v>
      </c>
      <c r="S65" s="92"/>
    </row>
    <row r="66" spans="6:19">
      <c r="N66" s="51" t="s">
        <v>39</v>
      </c>
      <c r="O66" s="54">
        <v>1.1846152400851391</v>
      </c>
      <c r="S66" s="92"/>
    </row>
    <row r="67" spans="6:19">
      <c r="N67" s="52" t="s">
        <v>21</v>
      </c>
      <c r="O67" s="53">
        <v>0.94364194846204663</v>
      </c>
      <c r="S67" s="92"/>
    </row>
    <row r="68" spans="6:19">
      <c r="N68" s="9" t="s">
        <v>32</v>
      </c>
      <c r="O68" s="53">
        <v>0.15496225791808549</v>
      </c>
      <c r="S68" s="125"/>
    </row>
    <row r="70" spans="6:19">
      <c r="F70" s="82"/>
    </row>
    <row r="71" spans="6:19">
      <c r="F71" s="82"/>
    </row>
    <row r="72" spans="6:19">
      <c r="F72" s="82"/>
    </row>
    <row r="73" spans="6:19">
      <c r="F73" s="82"/>
    </row>
    <row r="74" spans="6:19">
      <c r="F74" s="82"/>
    </row>
    <row r="75" spans="6:19">
      <c r="F75" s="82"/>
    </row>
    <row r="76" spans="6:19">
      <c r="F76" s="82"/>
    </row>
    <row r="77" spans="6:19">
      <c r="F77" s="82"/>
    </row>
    <row r="78" spans="6:19">
      <c r="F78" s="82"/>
    </row>
    <row r="79" spans="6:19">
      <c r="F79" s="82"/>
    </row>
    <row r="80" spans="6:19">
      <c r="F80" s="82"/>
    </row>
    <row r="81" spans="6:6">
      <c r="F81" s="82"/>
    </row>
    <row r="82" spans="6:6">
      <c r="F82" s="82"/>
    </row>
    <row r="83" spans="6:6">
      <c r="F83" s="82"/>
    </row>
    <row r="84" spans="6:6">
      <c r="F84" s="82"/>
    </row>
    <row r="85" spans="6:6">
      <c r="F85" s="82"/>
    </row>
    <row r="86" spans="6:6">
      <c r="F86" s="82"/>
    </row>
    <row r="87" spans="6:6">
      <c r="F87" s="82"/>
    </row>
    <row r="88" spans="6:6">
      <c r="F88" s="82"/>
    </row>
    <row r="89" spans="6:6">
      <c r="F89" s="82"/>
    </row>
    <row r="90" spans="6:6">
      <c r="F90" s="82"/>
    </row>
    <row r="91" spans="6:6">
      <c r="F91" s="82"/>
    </row>
    <row r="92" spans="6:6">
      <c r="F92" s="82"/>
    </row>
    <row r="93" spans="6:6">
      <c r="F93" s="82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2019-11-07T16:16:35Z</dcterms:modified>
</cp:coreProperties>
</file>